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l.miranda\Documents\Indicadores de Transparencia\2017\Ciudadania 2017\"/>
    </mc:Choice>
  </mc:AlternateContent>
  <bookViews>
    <workbookView xWindow="120" yWindow="45" windowWidth="18915" windowHeight="11820"/>
  </bookViews>
  <sheets>
    <sheet name="Resultados Nacionales" sheetId="19" r:id="rId1"/>
    <sheet name="Atlantida" sheetId="17" r:id="rId2"/>
    <sheet name="Colon" sheetId="11" r:id="rId3"/>
    <sheet name="Comayagua" sheetId="13" r:id="rId4"/>
    <sheet name="Copán" sheetId="6" r:id="rId5"/>
    <sheet name="Cortes" sheetId="12" r:id="rId6"/>
    <sheet name="Choluteca" sheetId="5" r:id="rId7"/>
    <sheet name="El Paraíso" sheetId="2" r:id="rId8"/>
    <sheet name="Fco Morazan" sheetId="10" r:id="rId9"/>
    <sheet name="Gracias a Dios" sheetId="16" r:id="rId10"/>
    <sheet name="Intibucá" sheetId="1" r:id="rId11"/>
    <sheet name="Islas DLB" sheetId="18" r:id="rId12"/>
    <sheet name="La Paz" sheetId="7" r:id="rId13"/>
    <sheet name="Lempira" sheetId="3" r:id="rId14"/>
    <sheet name="Ocotepeque" sheetId="14" r:id="rId15"/>
    <sheet name="Olancho" sheetId="15" r:id="rId16"/>
    <sheet name="Santa Barbara" sheetId="4" r:id="rId17"/>
    <sheet name="Valle" sheetId="9" r:id="rId18"/>
    <sheet name="Yoro" sheetId="8" r:id="rId19"/>
  </sheets>
  <definedNames>
    <definedName name="_xlnm._FilterDatabase" localSheetId="1" hidden="1">Atlantida!$A$3:$S$65</definedName>
    <definedName name="_xlnm.Print_Area" localSheetId="0">'Resultados Nacionales'!$A$1:$AE$78</definedName>
  </definedNames>
  <calcPr calcId="162913"/>
</workbook>
</file>

<file path=xl/calcChain.xml><?xml version="1.0" encoding="utf-8"?>
<calcChain xmlns="http://schemas.openxmlformats.org/spreadsheetml/2006/main">
  <c r="Z36" i="18" l="1"/>
  <c r="Z36" i="16"/>
  <c r="Z36" i="10"/>
  <c r="Z36" i="12"/>
  <c r="Z35" i="12"/>
  <c r="Z34" i="12"/>
  <c r="W34" i="12"/>
  <c r="AF42" i="11"/>
  <c r="S31" i="19"/>
  <c r="Z25" i="8"/>
  <c r="Z28" i="9"/>
  <c r="Z31" i="9"/>
  <c r="Z25" i="4"/>
  <c r="Z28" i="15"/>
  <c r="Z28" i="14"/>
  <c r="Z25" i="3"/>
  <c r="Z25" i="7"/>
  <c r="Z28" i="18"/>
  <c r="Z25" i="1"/>
  <c r="Z28" i="16"/>
  <c r="Z28" i="10"/>
  <c r="Z25" i="2"/>
  <c r="Z25" i="5"/>
  <c r="Z28" i="12"/>
  <c r="Z25" i="6"/>
  <c r="Z28" i="13"/>
  <c r="Z28" i="11"/>
  <c r="Z28" i="17"/>
  <c r="W28" i="17"/>
  <c r="Z17" i="6"/>
  <c r="Z16" i="6"/>
  <c r="Z21" i="11"/>
  <c r="Z20" i="11"/>
  <c r="Z19" i="11"/>
  <c r="AH40" i="8"/>
  <c r="AF40" i="8"/>
  <c r="AC40" i="8"/>
  <c r="Z40" i="8"/>
  <c r="AH39" i="8"/>
  <c r="AF39" i="8"/>
  <c r="AC39" i="8"/>
  <c r="Z39" i="8"/>
  <c r="AJ38" i="8"/>
  <c r="AH38" i="8"/>
  <c r="AF38" i="8"/>
  <c r="AC38" i="8"/>
  <c r="Z38" i="8"/>
  <c r="AH37" i="8"/>
  <c r="AF37" i="8"/>
  <c r="AC37" i="8"/>
  <c r="Z37" i="8"/>
  <c r="AH36" i="8"/>
  <c r="AF36" i="8"/>
  <c r="AC36" i="8"/>
  <c r="Z36" i="8"/>
  <c r="AJ35" i="8"/>
  <c r="AH35" i="8"/>
  <c r="AF35" i="8"/>
  <c r="AC35" i="8"/>
  <c r="Z35" i="8"/>
  <c r="AV33" i="8"/>
  <c r="AT33" i="8"/>
  <c r="AO33" i="8"/>
  <c r="AM33" i="8"/>
  <c r="AI33" i="8"/>
  <c r="AF33" i="8"/>
  <c r="AC33" i="8"/>
  <c r="Z33" i="8"/>
  <c r="AV32" i="8"/>
  <c r="AT32" i="8"/>
  <c r="AO32" i="8"/>
  <c r="AM32" i="8"/>
  <c r="AI32" i="8"/>
  <c r="AF32" i="8"/>
  <c r="AC32" i="8"/>
  <c r="Z32" i="8"/>
  <c r="AX31" i="8"/>
  <c r="AV31" i="8"/>
  <c r="AT31" i="8"/>
  <c r="AQ31" i="8"/>
  <c r="AO31" i="8"/>
  <c r="AM31" i="8"/>
  <c r="AI31" i="8"/>
  <c r="AF31" i="8"/>
  <c r="AC31" i="8"/>
  <c r="Z31" i="8"/>
  <c r="AH30" i="8"/>
  <c r="AF30" i="8"/>
  <c r="AC30" i="8"/>
  <c r="Z30" i="8"/>
  <c r="AH29" i="8"/>
  <c r="AF29" i="8"/>
  <c r="AC29" i="8"/>
  <c r="Z29" i="8"/>
  <c r="AJ28" i="8"/>
  <c r="AH28" i="8"/>
  <c r="AF28" i="8"/>
  <c r="AC28" i="8"/>
  <c r="Z28" i="8"/>
  <c r="AH27" i="8"/>
  <c r="AF27" i="8"/>
  <c r="AC27" i="8"/>
  <c r="Z27" i="8"/>
  <c r="AH26" i="8"/>
  <c r="AF26" i="8"/>
  <c r="AC26" i="8"/>
  <c r="Z26" i="8"/>
  <c r="AJ25" i="8"/>
  <c r="AH25" i="8"/>
  <c r="AF25" i="8"/>
  <c r="AC25" i="8"/>
  <c r="AH24" i="8"/>
  <c r="AF24" i="8"/>
  <c r="AC24" i="8"/>
  <c r="Z24" i="8"/>
  <c r="AH23" i="8"/>
  <c r="AF23" i="8"/>
  <c r="AC23" i="8"/>
  <c r="Z23" i="8"/>
  <c r="AJ22" i="8"/>
  <c r="AH22" i="8"/>
  <c r="AF22" i="8"/>
  <c r="AC22" i="8"/>
  <c r="Z22" i="8"/>
  <c r="AH21" i="8"/>
  <c r="AF21" i="8"/>
  <c r="AC21" i="8"/>
  <c r="Z21" i="8"/>
  <c r="AH20" i="8"/>
  <c r="AF20" i="8"/>
  <c r="AC20" i="8"/>
  <c r="Z20" i="8"/>
  <c r="AJ19" i="8"/>
  <c r="AH19" i="8"/>
  <c r="AF19" i="8"/>
  <c r="AC19" i="8"/>
  <c r="Z19" i="8"/>
  <c r="AH18" i="8"/>
  <c r="AF18" i="8"/>
  <c r="AC18" i="8"/>
  <c r="Z18" i="8"/>
  <c r="AH17" i="8"/>
  <c r="AF17" i="8"/>
  <c r="AC17" i="8"/>
  <c r="Z17" i="8"/>
  <c r="AJ16" i="8"/>
  <c r="AH16" i="8"/>
  <c r="AF16" i="8"/>
  <c r="AC16" i="8"/>
  <c r="Z16" i="8"/>
  <c r="AH43" i="9"/>
  <c r="AF43" i="9"/>
  <c r="AC43" i="9"/>
  <c r="Z43" i="9"/>
  <c r="AH42" i="9"/>
  <c r="AF42" i="9"/>
  <c r="AC42" i="9"/>
  <c r="Z42" i="9"/>
  <c r="AJ41" i="9"/>
  <c r="AH41" i="9"/>
  <c r="AF41" i="9"/>
  <c r="AC41" i="9"/>
  <c r="Z41" i="9"/>
  <c r="AH40" i="9"/>
  <c r="AF40" i="9"/>
  <c r="AC40" i="9"/>
  <c r="Z40" i="9"/>
  <c r="AH39" i="9"/>
  <c r="AF39" i="9"/>
  <c r="AC39" i="9"/>
  <c r="Z39" i="9"/>
  <c r="AJ38" i="9"/>
  <c r="AH38" i="9"/>
  <c r="AF38" i="9"/>
  <c r="AC38" i="9"/>
  <c r="Z38" i="9"/>
  <c r="AV36" i="9"/>
  <c r="AT36" i="9"/>
  <c r="AO36" i="9"/>
  <c r="AM36" i="9"/>
  <c r="AI36" i="9"/>
  <c r="AF36" i="9"/>
  <c r="AC36" i="9"/>
  <c r="Z36" i="9"/>
  <c r="AV35" i="9"/>
  <c r="AT35" i="9"/>
  <c r="AO35" i="9"/>
  <c r="AM35" i="9"/>
  <c r="AI35" i="9"/>
  <c r="AF35" i="9"/>
  <c r="AC35" i="9"/>
  <c r="Z35" i="9"/>
  <c r="AX34" i="9"/>
  <c r="AV34" i="9"/>
  <c r="AT34" i="9"/>
  <c r="AQ34" i="9"/>
  <c r="AO34" i="9"/>
  <c r="AM34" i="9"/>
  <c r="AI34" i="9"/>
  <c r="AF34" i="9"/>
  <c r="AC34" i="9"/>
  <c r="Z34" i="9"/>
  <c r="AH33" i="9"/>
  <c r="AF33" i="9"/>
  <c r="AC33" i="9"/>
  <c r="Z33" i="9"/>
  <c r="AH32" i="9"/>
  <c r="AF32" i="9"/>
  <c r="AC32" i="9"/>
  <c r="Z32" i="9"/>
  <c r="AJ31" i="9"/>
  <c r="AH31" i="9"/>
  <c r="AF31" i="9"/>
  <c r="AC31" i="9"/>
  <c r="AH30" i="9"/>
  <c r="AF30" i="9"/>
  <c r="AC30" i="9"/>
  <c r="Z30" i="9"/>
  <c r="AH29" i="9"/>
  <c r="AF29" i="9"/>
  <c r="AC29" i="9"/>
  <c r="Z29" i="9"/>
  <c r="AJ28" i="9"/>
  <c r="AH28" i="9"/>
  <c r="AF28" i="9"/>
  <c r="AC28" i="9"/>
  <c r="AH27" i="9"/>
  <c r="AF27" i="9"/>
  <c r="AC27" i="9"/>
  <c r="Z27" i="9"/>
  <c r="AH26" i="9"/>
  <c r="AF26" i="9"/>
  <c r="AC26" i="9"/>
  <c r="Z26" i="9"/>
  <c r="AJ25" i="9"/>
  <c r="AH25" i="9"/>
  <c r="AF25" i="9"/>
  <c r="AC25" i="9"/>
  <c r="Z25" i="9"/>
  <c r="AH24" i="9"/>
  <c r="AF24" i="9"/>
  <c r="AC24" i="9"/>
  <c r="Z24" i="9"/>
  <c r="AH23" i="9"/>
  <c r="AF23" i="9"/>
  <c r="AC23" i="9"/>
  <c r="Z23" i="9"/>
  <c r="AJ22" i="9"/>
  <c r="AH22" i="9"/>
  <c r="AF22" i="9"/>
  <c r="AC22" i="9"/>
  <c r="Z22" i="9"/>
  <c r="AH21" i="9"/>
  <c r="AF21" i="9"/>
  <c r="AC21" i="9"/>
  <c r="Z21" i="9"/>
  <c r="AH20" i="9"/>
  <c r="AF20" i="9"/>
  <c r="AC20" i="9"/>
  <c r="Z20" i="9"/>
  <c r="AJ19" i="9"/>
  <c r="AH19" i="9"/>
  <c r="AF19" i="9"/>
  <c r="AC19" i="9"/>
  <c r="Z19" i="9"/>
  <c r="AH40" i="4"/>
  <c r="AF40" i="4"/>
  <c r="AC40" i="4"/>
  <c r="Z40" i="4"/>
  <c r="AH39" i="4"/>
  <c r="AF39" i="4"/>
  <c r="AC39" i="4"/>
  <c r="Z39" i="4"/>
  <c r="AJ38" i="4"/>
  <c r="AH38" i="4"/>
  <c r="AF38" i="4"/>
  <c r="AC38" i="4"/>
  <c r="Z38" i="4"/>
  <c r="AH37" i="4"/>
  <c r="AF37" i="4"/>
  <c r="AC37" i="4"/>
  <c r="Z37" i="4"/>
  <c r="AH36" i="4"/>
  <c r="AF36" i="4"/>
  <c r="AC36" i="4"/>
  <c r="Z36" i="4"/>
  <c r="AJ35" i="4"/>
  <c r="AH35" i="4"/>
  <c r="AF35" i="4"/>
  <c r="AC35" i="4"/>
  <c r="Z35" i="4"/>
  <c r="AV33" i="4"/>
  <c r="AT33" i="4"/>
  <c r="AO33" i="4"/>
  <c r="AM33" i="4"/>
  <c r="AI33" i="4"/>
  <c r="AF33" i="4"/>
  <c r="AC33" i="4"/>
  <c r="Z33" i="4"/>
  <c r="AV32" i="4"/>
  <c r="AT32" i="4"/>
  <c r="AO32" i="4"/>
  <c r="AM32" i="4"/>
  <c r="AI32" i="4"/>
  <c r="AF32" i="4"/>
  <c r="AC32" i="4"/>
  <c r="Z32" i="4"/>
  <c r="AX31" i="4"/>
  <c r="AV31" i="4"/>
  <c r="AT31" i="4"/>
  <c r="AQ31" i="4"/>
  <c r="AO31" i="4"/>
  <c r="AM31" i="4"/>
  <c r="AI31" i="4"/>
  <c r="AF31" i="4"/>
  <c r="AC31" i="4"/>
  <c r="Z31" i="4"/>
  <c r="AH30" i="4"/>
  <c r="AF30" i="4"/>
  <c r="AC30" i="4"/>
  <c r="Z30" i="4"/>
  <c r="AH29" i="4"/>
  <c r="AF29" i="4"/>
  <c r="AC29" i="4"/>
  <c r="Z29" i="4"/>
  <c r="AJ28" i="4"/>
  <c r="AH28" i="4"/>
  <c r="AF28" i="4"/>
  <c r="AC28" i="4"/>
  <c r="Z28" i="4"/>
  <c r="AH27" i="4"/>
  <c r="AF27" i="4"/>
  <c r="AC27" i="4"/>
  <c r="Z27" i="4"/>
  <c r="AH26" i="4"/>
  <c r="AF26" i="4"/>
  <c r="AC26" i="4"/>
  <c r="Z26" i="4"/>
  <c r="AJ25" i="4"/>
  <c r="AH25" i="4"/>
  <c r="AF25" i="4"/>
  <c r="AC25" i="4"/>
  <c r="AH24" i="4"/>
  <c r="AF24" i="4"/>
  <c r="AC24" i="4"/>
  <c r="Z24" i="4"/>
  <c r="AH23" i="4"/>
  <c r="AF23" i="4"/>
  <c r="AC23" i="4"/>
  <c r="Z23" i="4"/>
  <c r="AJ22" i="4"/>
  <c r="AH22" i="4"/>
  <c r="AF22" i="4"/>
  <c r="AC22" i="4"/>
  <c r="Z22" i="4"/>
  <c r="AH21" i="4"/>
  <c r="AF21" i="4"/>
  <c r="AC21" i="4"/>
  <c r="Z21" i="4"/>
  <c r="AH20" i="4"/>
  <c r="AF20" i="4"/>
  <c r="AC20" i="4"/>
  <c r="Z20" i="4"/>
  <c r="AJ19" i="4"/>
  <c r="AH19" i="4"/>
  <c r="AF19" i="4"/>
  <c r="AC19" i="4"/>
  <c r="Z19" i="4"/>
  <c r="AH18" i="4"/>
  <c r="AF18" i="4"/>
  <c r="AC18" i="4"/>
  <c r="Z18" i="4"/>
  <c r="AH17" i="4"/>
  <c r="AF17" i="4"/>
  <c r="AC17" i="4"/>
  <c r="Z17" i="4"/>
  <c r="AJ16" i="4"/>
  <c r="AH16" i="4"/>
  <c r="AF16" i="4"/>
  <c r="AC16" i="4"/>
  <c r="Z16" i="4"/>
  <c r="AH43" i="15"/>
  <c r="AF43" i="15"/>
  <c r="AC43" i="15"/>
  <c r="Z43" i="15"/>
  <c r="AH42" i="15"/>
  <c r="AF42" i="15"/>
  <c r="AC42" i="15"/>
  <c r="Z42" i="15"/>
  <c r="AJ41" i="15"/>
  <c r="AH41" i="15"/>
  <c r="AF41" i="15"/>
  <c r="AC41" i="15"/>
  <c r="Z41" i="15"/>
  <c r="AH40" i="15"/>
  <c r="AF40" i="15"/>
  <c r="AC40" i="15"/>
  <c r="Z40" i="15"/>
  <c r="AH39" i="15"/>
  <c r="AF39" i="15"/>
  <c r="AC39" i="15"/>
  <c r="Z39" i="15"/>
  <c r="AJ38" i="15"/>
  <c r="AH38" i="15"/>
  <c r="AF38" i="15"/>
  <c r="AC38" i="15"/>
  <c r="Z38" i="15"/>
  <c r="AV36" i="15"/>
  <c r="AT36" i="15"/>
  <c r="AO36" i="15"/>
  <c r="AM36" i="15"/>
  <c r="AI36" i="15"/>
  <c r="AF36" i="15"/>
  <c r="AC36" i="15"/>
  <c r="Z36" i="15"/>
  <c r="AV35" i="15"/>
  <c r="AT35" i="15"/>
  <c r="AO35" i="15"/>
  <c r="AM35" i="15"/>
  <c r="AI35" i="15"/>
  <c r="AF35" i="15"/>
  <c r="AC35" i="15"/>
  <c r="Z35" i="15"/>
  <c r="AX34" i="15"/>
  <c r="AV34" i="15"/>
  <c r="AT34" i="15"/>
  <c r="AQ34" i="15"/>
  <c r="AO34" i="15"/>
  <c r="AM34" i="15"/>
  <c r="AI34" i="15"/>
  <c r="AF34" i="15"/>
  <c r="AC34" i="15"/>
  <c r="Z34" i="15"/>
  <c r="AH33" i="15"/>
  <c r="AF33" i="15"/>
  <c r="AC33" i="15"/>
  <c r="Z33" i="15"/>
  <c r="AH32" i="15"/>
  <c r="AF32" i="15"/>
  <c r="AC32" i="15"/>
  <c r="Z32" i="15"/>
  <c r="AJ31" i="15"/>
  <c r="AH31" i="15"/>
  <c r="AF31" i="15"/>
  <c r="AC31" i="15"/>
  <c r="Z31" i="15"/>
  <c r="AH30" i="15"/>
  <c r="AF30" i="15"/>
  <c r="AC30" i="15"/>
  <c r="Z30" i="15"/>
  <c r="AH29" i="15"/>
  <c r="AF29" i="15"/>
  <c r="AC29" i="15"/>
  <c r="Z29" i="15"/>
  <c r="AJ28" i="15"/>
  <c r="AH28" i="15"/>
  <c r="AF28" i="15"/>
  <c r="AC28" i="15"/>
  <c r="AH27" i="15"/>
  <c r="AF27" i="15"/>
  <c r="AC27" i="15"/>
  <c r="Z27" i="15"/>
  <c r="AH26" i="15"/>
  <c r="AF26" i="15"/>
  <c r="AC26" i="15"/>
  <c r="Z26" i="15"/>
  <c r="AJ25" i="15"/>
  <c r="AH25" i="15"/>
  <c r="AF25" i="15"/>
  <c r="AC25" i="15"/>
  <c r="Z25" i="15"/>
  <c r="AH24" i="15"/>
  <c r="AF24" i="15"/>
  <c r="AC24" i="15"/>
  <c r="Z24" i="15"/>
  <c r="AH23" i="15"/>
  <c r="AF23" i="15"/>
  <c r="AC23" i="15"/>
  <c r="Z23" i="15"/>
  <c r="AJ22" i="15"/>
  <c r="AH22" i="15"/>
  <c r="AF22" i="15"/>
  <c r="AC22" i="15"/>
  <c r="Z22" i="15"/>
  <c r="AH21" i="15"/>
  <c r="AF21" i="15"/>
  <c r="AC21" i="15"/>
  <c r="Z21" i="15"/>
  <c r="AH20" i="15"/>
  <c r="AF20" i="15"/>
  <c r="AC20" i="15"/>
  <c r="Z20" i="15"/>
  <c r="AJ19" i="15"/>
  <c r="AH19" i="15"/>
  <c r="AF19" i="15"/>
  <c r="AC19" i="15"/>
  <c r="Z19" i="15"/>
  <c r="Z29" i="14"/>
  <c r="AH43" i="14"/>
  <c r="AF43" i="14"/>
  <c r="AC43" i="14"/>
  <c r="Z43" i="14"/>
  <c r="AH42" i="14"/>
  <c r="AF42" i="14"/>
  <c r="AC42" i="14"/>
  <c r="Z42" i="14"/>
  <c r="AJ41" i="14"/>
  <c r="AH41" i="14"/>
  <c r="AF41" i="14"/>
  <c r="AC41" i="14"/>
  <c r="Z41" i="14"/>
  <c r="AH40" i="14"/>
  <c r="AF40" i="14"/>
  <c r="AC40" i="14"/>
  <c r="Z40" i="14"/>
  <c r="AH39" i="14"/>
  <c r="AF39" i="14"/>
  <c r="AC39" i="14"/>
  <c r="Z39" i="14"/>
  <c r="AJ38" i="14"/>
  <c r="AH38" i="14"/>
  <c r="AF38" i="14"/>
  <c r="AC38" i="14"/>
  <c r="Z38" i="14"/>
  <c r="AV36" i="14"/>
  <c r="AT36" i="14"/>
  <c r="AO36" i="14"/>
  <c r="AM36" i="14"/>
  <c r="AI36" i="14"/>
  <c r="AF36" i="14"/>
  <c r="AC36" i="14"/>
  <c r="Z36" i="14"/>
  <c r="AV35" i="14"/>
  <c r="AT35" i="14"/>
  <c r="AO35" i="14"/>
  <c r="AM35" i="14"/>
  <c r="AI35" i="14"/>
  <c r="AF35" i="14"/>
  <c r="AC35" i="14"/>
  <c r="Z35" i="14"/>
  <c r="AX34" i="14"/>
  <c r="AV34" i="14"/>
  <c r="AT34" i="14"/>
  <c r="AQ34" i="14"/>
  <c r="AO34" i="14"/>
  <c r="AM34" i="14"/>
  <c r="AI34" i="14"/>
  <c r="AF34" i="14"/>
  <c r="AC34" i="14"/>
  <c r="Z34" i="14"/>
  <c r="AH33" i="14"/>
  <c r="AF33" i="14"/>
  <c r="AC33" i="14"/>
  <c r="Z33" i="14"/>
  <c r="AH32" i="14"/>
  <c r="AF32" i="14"/>
  <c r="AC32" i="14"/>
  <c r="Z32" i="14"/>
  <c r="AJ31" i="14"/>
  <c r="AH31" i="14"/>
  <c r="AF31" i="14"/>
  <c r="AC31" i="14"/>
  <c r="Z31" i="14"/>
  <c r="AH30" i="14"/>
  <c r="AF30" i="14"/>
  <c r="AC30" i="14"/>
  <c r="Z30" i="14"/>
  <c r="AH29" i="14"/>
  <c r="AF29" i="14"/>
  <c r="AC29" i="14"/>
  <c r="AJ28" i="14"/>
  <c r="AH28" i="14"/>
  <c r="AF28" i="14"/>
  <c r="AC28" i="14"/>
  <c r="AH27" i="14"/>
  <c r="AF27" i="14"/>
  <c r="AC27" i="14"/>
  <c r="Z27" i="14"/>
  <c r="AH26" i="14"/>
  <c r="AF26" i="14"/>
  <c r="AC26" i="14"/>
  <c r="Z26" i="14"/>
  <c r="AJ25" i="14"/>
  <c r="AH25" i="14"/>
  <c r="AF25" i="14"/>
  <c r="AC25" i="14"/>
  <c r="Z25" i="14"/>
  <c r="AH24" i="14"/>
  <c r="AF24" i="14"/>
  <c r="AC24" i="14"/>
  <c r="Z24" i="14"/>
  <c r="AH23" i="14"/>
  <c r="AF23" i="14"/>
  <c r="AC23" i="14"/>
  <c r="Z23" i="14"/>
  <c r="AJ22" i="14"/>
  <c r="AH22" i="14"/>
  <c r="AF22" i="14"/>
  <c r="AC22" i="14"/>
  <c r="Z22" i="14"/>
  <c r="AH21" i="14"/>
  <c r="AF21" i="14"/>
  <c r="AC21" i="14"/>
  <c r="Z21" i="14"/>
  <c r="AH20" i="14"/>
  <c r="AF20" i="14"/>
  <c r="AC20" i="14"/>
  <c r="Z20" i="14"/>
  <c r="AJ19" i="14"/>
  <c r="AH19" i="14"/>
  <c r="AF19" i="14"/>
  <c r="AC19" i="14"/>
  <c r="Z19" i="14"/>
  <c r="AH40" i="3"/>
  <c r="AF40" i="3"/>
  <c r="AC40" i="3"/>
  <c r="Z40" i="3"/>
  <c r="AH39" i="3"/>
  <c r="AF39" i="3"/>
  <c r="AC39" i="3"/>
  <c r="Z39" i="3"/>
  <c r="AJ38" i="3"/>
  <c r="AH38" i="3"/>
  <c r="AF38" i="3"/>
  <c r="AC38" i="3"/>
  <c r="Z38" i="3"/>
  <c r="AH37" i="3"/>
  <c r="AF37" i="3"/>
  <c r="AC37" i="3"/>
  <c r="Z37" i="3"/>
  <c r="AH36" i="3"/>
  <c r="AF36" i="3"/>
  <c r="AC36" i="3"/>
  <c r="Z36" i="3"/>
  <c r="AJ35" i="3"/>
  <c r="AH35" i="3"/>
  <c r="AF35" i="3"/>
  <c r="AC35" i="3"/>
  <c r="Z35" i="3"/>
  <c r="AV33" i="3"/>
  <c r="AT33" i="3"/>
  <c r="AO33" i="3"/>
  <c r="AM33" i="3"/>
  <c r="AI33" i="3"/>
  <c r="AF33" i="3"/>
  <c r="AC33" i="3"/>
  <c r="Z33" i="3"/>
  <c r="AV32" i="3"/>
  <c r="AT32" i="3"/>
  <c r="AO32" i="3"/>
  <c r="AM32" i="3"/>
  <c r="AI32" i="3"/>
  <c r="AF32" i="3"/>
  <c r="AC32" i="3"/>
  <c r="Z32" i="3"/>
  <c r="AX31" i="3"/>
  <c r="AV31" i="3"/>
  <c r="AT31" i="3"/>
  <c r="AQ31" i="3"/>
  <c r="AO31" i="3"/>
  <c r="AM31" i="3"/>
  <c r="AI31" i="3"/>
  <c r="AF31" i="3"/>
  <c r="AC31" i="3"/>
  <c r="Z31" i="3"/>
  <c r="AH30" i="3"/>
  <c r="AF30" i="3"/>
  <c r="AC30" i="3"/>
  <c r="Z30" i="3"/>
  <c r="AH29" i="3"/>
  <c r="AF29" i="3"/>
  <c r="AC29" i="3"/>
  <c r="Z29" i="3"/>
  <c r="AJ28" i="3"/>
  <c r="AH28" i="3"/>
  <c r="AF28" i="3"/>
  <c r="AC28" i="3"/>
  <c r="Z28" i="3"/>
  <c r="AH27" i="3"/>
  <c r="AF27" i="3"/>
  <c r="AC27" i="3"/>
  <c r="Z27" i="3"/>
  <c r="AH26" i="3"/>
  <c r="AF26" i="3"/>
  <c r="AC26" i="3"/>
  <c r="Z26" i="3"/>
  <c r="AJ25" i="3"/>
  <c r="AH25" i="3"/>
  <c r="AF25" i="3"/>
  <c r="AC25" i="3"/>
  <c r="AH24" i="3"/>
  <c r="AF24" i="3"/>
  <c r="AC24" i="3"/>
  <c r="Z24" i="3"/>
  <c r="AH23" i="3"/>
  <c r="AF23" i="3"/>
  <c r="AC23" i="3"/>
  <c r="Z23" i="3"/>
  <c r="AJ22" i="3"/>
  <c r="AH22" i="3"/>
  <c r="AF22" i="3"/>
  <c r="AC22" i="3"/>
  <c r="Z22" i="3"/>
  <c r="AH21" i="3"/>
  <c r="AF21" i="3"/>
  <c r="AC21" i="3"/>
  <c r="Z21" i="3"/>
  <c r="AH20" i="3"/>
  <c r="AF20" i="3"/>
  <c r="AC20" i="3"/>
  <c r="Z20" i="3"/>
  <c r="AJ19" i="3"/>
  <c r="AH19" i="3"/>
  <c r="AF19" i="3"/>
  <c r="AC19" i="3"/>
  <c r="Z19" i="3"/>
  <c r="AH18" i="3"/>
  <c r="AF18" i="3"/>
  <c r="AC18" i="3"/>
  <c r="Z18" i="3"/>
  <c r="AH17" i="3"/>
  <c r="AF17" i="3"/>
  <c r="AC17" i="3"/>
  <c r="Z17" i="3"/>
  <c r="AJ16" i="3"/>
  <c r="AH16" i="3"/>
  <c r="AF16" i="3"/>
  <c r="AC16" i="3"/>
  <c r="Z16" i="3"/>
  <c r="Z24" i="7"/>
  <c r="AH40" i="7"/>
  <c r="AF40" i="7"/>
  <c r="AC40" i="7"/>
  <c r="Z40" i="7"/>
  <c r="AH39" i="7"/>
  <c r="AF39" i="7"/>
  <c r="AC39" i="7"/>
  <c r="Z39" i="7"/>
  <c r="AJ38" i="7"/>
  <c r="AH38" i="7"/>
  <c r="AF38" i="7"/>
  <c r="AC38" i="7"/>
  <c r="Z38" i="7"/>
  <c r="AH37" i="7"/>
  <c r="AF37" i="7"/>
  <c r="AC37" i="7"/>
  <c r="Z37" i="7"/>
  <c r="AH36" i="7"/>
  <c r="AF36" i="7"/>
  <c r="AC36" i="7"/>
  <c r="Z36" i="7"/>
  <c r="AJ35" i="7"/>
  <c r="AH35" i="7"/>
  <c r="AF35" i="7"/>
  <c r="AC35" i="7"/>
  <c r="Z35" i="7"/>
  <c r="AV33" i="7"/>
  <c r="AT33" i="7"/>
  <c r="AO33" i="7"/>
  <c r="AM33" i="7"/>
  <c r="AI33" i="7"/>
  <c r="AF33" i="7"/>
  <c r="AC33" i="7"/>
  <c r="Z33" i="7"/>
  <c r="AV32" i="7"/>
  <c r="AT32" i="7"/>
  <c r="AO32" i="7"/>
  <c r="AM32" i="7"/>
  <c r="AI32" i="7"/>
  <c r="AF32" i="7"/>
  <c r="AC32" i="7"/>
  <c r="Z32" i="7"/>
  <c r="AX31" i="7"/>
  <c r="AV31" i="7"/>
  <c r="AT31" i="7"/>
  <c r="AQ31" i="7"/>
  <c r="AO31" i="7"/>
  <c r="AM31" i="7"/>
  <c r="AI31" i="7"/>
  <c r="AF31" i="7"/>
  <c r="AC31" i="7"/>
  <c r="Z31" i="7"/>
  <c r="AH30" i="7"/>
  <c r="AF30" i="7"/>
  <c r="AC30" i="7"/>
  <c r="Z30" i="7"/>
  <c r="AH29" i="7"/>
  <c r="AF29" i="7"/>
  <c r="AC29" i="7"/>
  <c r="Z29" i="7"/>
  <c r="AJ28" i="7"/>
  <c r="AH28" i="7"/>
  <c r="AF28" i="7"/>
  <c r="AC28" i="7"/>
  <c r="Z28" i="7"/>
  <c r="AH27" i="7"/>
  <c r="AF27" i="7"/>
  <c r="AC27" i="7"/>
  <c r="Z27" i="7"/>
  <c r="AH26" i="7"/>
  <c r="AF26" i="7"/>
  <c r="AC26" i="7"/>
  <c r="Z26" i="7"/>
  <c r="AJ25" i="7"/>
  <c r="AH25" i="7"/>
  <c r="AF25" i="7"/>
  <c r="AC25" i="7"/>
  <c r="AH24" i="7"/>
  <c r="AF24" i="7"/>
  <c r="AC24" i="7"/>
  <c r="AH23" i="7"/>
  <c r="AF23" i="7"/>
  <c r="AC23" i="7"/>
  <c r="Z23" i="7"/>
  <c r="AJ22" i="7"/>
  <c r="AH22" i="7"/>
  <c r="AF22" i="7"/>
  <c r="AC22" i="7"/>
  <c r="Z22" i="7"/>
  <c r="AH21" i="7"/>
  <c r="AF21" i="7"/>
  <c r="AC21" i="7"/>
  <c r="Z21" i="7"/>
  <c r="AH20" i="7"/>
  <c r="AF20" i="7"/>
  <c r="AC20" i="7"/>
  <c r="Z20" i="7"/>
  <c r="AJ19" i="7"/>
  <c r="AH19" i="7"/>
  <c r="AF19" i="7"/>
  <c r="AC19" i="7"/>
  <c r="Z19" i="7"/>
  <c r="AH18" i="7"/>
  <c r="AF18" i="7"/>
  <c r="AC18" i="7"/>
  <c r="Z18" i="7"/>
  <c r="AH17" i="7"/>
  <c r="AF17" i="7"/>
  <c r="AC17" i="7"/>
  <c r="Z17" i="7"/>
  <c r="AJ16" i="7"/>
  <c r="AH16" i="7"/>
  <c r="AF16" i="7"/>
  <c r="AC16" i="7"/>
  <c r="Z16" i="7"/>
  <c r="AO36" i="18"/>
  <c r="Z27" i="18"/>
  <c r="AH43" i="18"/>
  <c r="AF43" i="18"/>
  <c r="AC43" i="18"/>
  <c r="Z43" i="18"/>
  <c r="AH42" i="18"/>
  <c r="AF42" i="18"/>
  <c r="AC42" i="18"/>
  <c r="Z42" i="18"/>
  <c r="AJ41" i="18"/>
  <c r="AH41" i="18"/>
  <c r="AF41" i="18"/>
  <c r="AC41" i="18"/>
  <c r="Z41" i="18"/>
  <c r="AH40" i="18"/>
  <c r="AF40" i="18"/>
  <c r="AC40" i="18"/>
  <c r="Z40" i="18"/>
  <c r="AH39" i="18"/>
  <c r="AF39" i="18"/>
  <c r="AC39" i="18"/>
  <c r="Z39" i="18"/>
  <c r="AJ38" i="18"/>
  <c r="AH38" i="18"/>
  <c r="AF38" i="18"/>
  <c r="AC38" i="18"/>
  <c r="Z38" i="18"/>
  <c r="AV36" i="18"/>
  <c r="AT36" i="18"/>
  <c r="AM36" i="18"/>
  <c r="AI36" i="18"/>
  <c r="AF36" i="18"/>
  <c r="AC36" i="18"/>
  <c r="AV35" i="18"/>
  <c r="AT35" i="18"/>
  <c r="AO35" i="18"/>
  <c r="AM35" i="18"/>
  <c r="AI35" i="18"/>
  <c r="AF35" i="18"/>
  <c r="AC35" i="18"/>
  <c r="Z35" i="18"/>
  <c r="AX34" i="18"/>
  <c r="AV34" i="18"/>
  <c r="AT34" i="18"/>
  <c r="AQ34" i="18"/>
  <c r="AO34" i="18"/>
  <c r="AM34" i="18"/>
  <c r="AI34" i="18"/>
  <c r="AF34" i="18"/>
  <c r="AC34" i="18"/>
  <c r="Z34" i="18"/>
  <c r="AH33" i="18"/>
  <c r="AF33" i="18"/>
  <c r="AC33" i="18"/>
  <c r="Z33" i="18"/>
  <c r="AH32" i="18"/>
  <c r="AF32" i="18"/>
  <c r="AC32" i="18"/>
  <c r="Z32" i="18"/>
  <c r="AJ31" i="18"/>
  <c r="AH31" i="18"/>
  <c r="AF31" i="18"/>
  <c r="AC31" i="18"/>
  <c r="Z31" i="18"/>
  <c r="AH30" i="18"/>
  <c r="AF30" i="18"/>
  <c r="AC30" i="18"/>
  <c r="Z30" i="18"/>
  <c r="AH29" i="18"/>
  <c r="AF29" i="18"/>
  <c r="AC29" i="18"/>
  <c r="Z29" i="18"/>
  <c r="AJ28" i="18"/>
  <c r="AH28" i="18"/>
  <c r="AF28" i="18"/>
  <c r="AC28" i="18"/>
  <c r="AH27" i="18"/>
  <c r="AF27" i="18"/>
  <c r="AC27" i="18"/>
  <c r="AH26" i="18"/>
  <c r="AF26" i="18"/>
  <c r="AC26" i="18"/>
  <c r="Z26" i="18"/>
  <c r="AJ25" i="18"/>
  <c r="AH25" i="18"/>
  <c r="AF25" i="18"/>
  <c r="AC25" i="18"/>
  <c r="Z25" i="18"/>
  <c r="AH24" i="18"/>
  <c r="AF24" i="18"/>
  <c r="AC24" i="18"/>
  <c r="Z24" i="18"/>
  <c r="AH23" i="18"/>
  <c r="AF23" i="18"/>
  <c r="AC23" i="18"/>
  <c r="Z23" i="18"/>
  <c r="AJ22" i="18"/>
  <c r="AH22" i="18"/>
  <c r="AF22" i="18"/>
  <c r="AC22" i="18"/>
  <c r="Z22" i="18"/>
  <c r="AH21" i="18"/>
  <c r="AF21" i="18"/>
  <c r="AC21" i="18"/>
  <c r="Z21" i="18"/>
  <c r="AH20" i="18"/>
  <c r="AF20" i="18"/>
  <c r="AC20" i="18"/>
  <c r="Z20" i="18"/>
  <c r="AJ19" i="18"/>
  <c r="AH19" i="18"/>
  <c r="AF19" i="18"/>
  <c r="AC19" i="18"/>
  <c r="Z19" i="18"/>
  <c r="AO33" i="1"/>
  <c r="Z24" i="1"/>
  <c r="AH40" i="1"/>
  <c r="AF40" i="1"/>
  <c r="AC40" i="1"/>
  <c r="Z40" i="1"/>
  <c r="AH39" i="1"/>
  <c r="AF39" i="1"/>
  <c r="AC39" i="1"/>
  <c r="Z39" i="1"/>
  <c r="AJ38" i="1"/>
  <c r="AH38" i="1"/>
  <c r="AF38" i="1"/>
  <c r="AC38" i="1"/>
  <c r="Z38" i="1"/>
  <c r="AH37" i="1"/>
  <c r="AF37" i="1"/>
  <c r="AC37" i="1"/>
  <c r="Z37" i="1"/>
  <c r="AH36" i="1"/>
  <c r="AF36" i="1"/>
  <c r="AC36" i="1"/>
  <c r="Z36" i="1"/>
  <c r="AJ35" i="1"/>
  <c r="AH35" i="1"/>
  <c r="AF35" i="1"/>
  <c r="AC35" i="1"/>
  <c r="Z35" i="1"/>
  <c r="AV33" i="1"/>
  <c r="AT33" i="1"/>
  <c r="AM33" i="1"/>
  <c r="AI33" i="1"/>
  <c r="AF33" i="1"/>
  <c r="AC33" i="1"/>
  <c r="Z33" i="1"/>
  <c r="AV32" i="1"/>
  <c r="AT32" i="1"/>
  <c r="AO32" i="1"/>
  <c r="AM32" i="1"/>
  <c r="AI32" i="1"/>
  <c r="AF32" i="1"/>
  <c r="AC32" i="1"/>
  <c r="Z32" i="1"/>
  <c r="AX31" i="1"/>
  <c r="AV31" i="1"/>
  <c r="AT31" i="1"/>
  <c r="AQ31" i="1"/>
  <c r="AO31" i="1"/>
  <c r="AM31" i="1"/>
  <c r="AI31" i="1"/>
  <c r="AF31" i="1"/>
  <c r="AC31" i="1"/>
  <c r="Z31" i="1"/>
  <c r="AH30" i="1"/>
  <c r="AF30" i="1"/>
  <c r="AC30" i="1"/>
  <c r="Z30" i="1"/>
  <c r="AH29" i="1"/>
  <c r="AF29" i="1"/>
  <c r="AC29" i="1"/>
  <c r="Z29" i="1"/>
  <c r="AJ28" i="1"/>
  <c r="AH28" i="1"/>
  <c r="AF28" i="1"/>
  <c r="AC28" i="1"/>
  <c r="Z28" i="1"/>
  <c r="AH27" i="1"/>
  <c r="AF27" i="1"/>
  <c r="AC27" i="1"/>
  <c r="Z27" i="1"/>
  <c r="AH26" i="1"/>
  <c r="AF26" i="1"/>
  <c r="AC26" i="1"/>
  <c r="Z26" i="1"/>
  <c r="AJ25" i="1"/>
  <c r="AH25" i="1"/>
  <c r="AF25" i="1"/>
  <c r="AC25" i="1"/>
  <c r="AH24" i="1"/>
  <c r="AF24" i="1"/>
  <c r="AC24" i="1"/>
  <c r="AH23" i="1"/>
  <c r="AF23" i="1"/>
  <c r="AC23" i="1"/>
  <c r="Z23" i="1"/>
  <c r="AJ22" i="1"/>
  <c r="AH22" i="1"/>
  <c r="AF22" i="1"/>
  <c r="AC22" i="1"/>
  <c r="Z22" i="1"/>
  <c r="AH21" i="1"/>
  <c r="AF21" i="1"/>
  <c r="AC21" i="1"/>
  <c r="Z21" i="1"/>
  <c r="AH20" i="1"/>
  <c r="AF20" i="1"/>
  <c r="AC20" i="1"/>
  <c r="Z20" i="1"/>
  <c r="AJ19" i="1"/>
  <c r="AH19" i="1"/>
  <c r="AF19" i="1"/>
  <c r="AC19" i="1"/>
  <c r="Z19" i="1"/>
  <c r="AH18" i="1"/>
  <c r="AF18" i="1"/>
  <c r="AC18" i="1"/>
  <c r="Z18" i="1"/>
  <c r="AH17" i="1"/>
  <c r="AF17" i="1"/>
  <c r="AC17" i="1"/>
  <c r="Z17" i="1"/>
  <c r="AJ16" i="1"/>
  <c r="AH16" i="1"/>
  <c r="AF16" i="1"/>
  <c r="AC16" i="1"/>
  <c r="Z16" i="1"/>
  <c r="AH43" i="16"/>
  <c r="AF43" i="16"/>
  <c r="AC43" i="16"/>
  <c r="Z43" i="16"/>
  <c r="AH42" i="16"/>
  <c r="AF42" i="16"/>
  <c r="AC42" i="16"/>
  <c r="Z42" i="16"/>
  <c r="AJ41" i="16"/>
  <c r="AH41" i="16"/>
  <c r="AF41" i="16"/>
  <c r="AC41" i="16"/>
  <c r="Z41" i="16"/>
  <c r="AH40" i="16"/>
  <c r="AF40" i="16"/>
  <c r="AC40" i="16"/>
  <c r="Z40" i="16"/>
  <c r="AH39" i="16"/>
  <c r="AF39" i="16"/>
  <c r="AC39" i="16"/>
  <c r="Z39" i="16"/>
  <c r="AJ38" i="16"/>
  <c r="AH38" i="16"/>
  <c r="AF38" i="16"/>
  <c r="AC38" i="16"/>
  <c r="Z38" i="16"/>
  <c r="AV36" i="16"/>
  <c r="AT36" i="16"/>
  <c r="AO36" i="16"/>
  <c r="AM36" i="16"/>
  <c r="AI36" i="16"/>
  <c r="AF36" i="16"/>
  <c r="AC36" i="16"/>
  <c r="AV35" i="16"/>
  <c r="AT35" i="16"/>
  <c r="AO35" i="16"/>
  <c r="AM35" i="16"/>
  <c r="AI35" i="16"/>
  <c r="AF35" i="16"/>
  <c r="AC35" i="16"/>
  <c r="Z35" i="16"/>
  <c r="AX34" i="16"/>
  <c r="AV34" i="16"/>
  <c r="AT34" i="16"/>
  <c r="AQ34" i="16"/>
  <c r="AO34" i="16"/>
  <c r="AM34" i="16"/>
  <c r="AI34" i="16"/>
  <c r="AF34" i="16"/>
  <c r="AC34" i="16"/>
  <c r="Z34" i="16"/>
  <c r="AH33" i="16"/>
  <c r="AF33" i="16"/>
  <c r="AC33" i="16"/>
  <c r="Z33" i="16"/>
  <c r="AH32" i="16"/>
  <c r="AF32" i="16"/>
  <c r="AC32" i="16"/>
  <c r="Z32" i="16"/>
  <c r="AJ31" i="16"/>
  <c r="AH31" i="16"/>
  <c r="AF31" i="16"/>
  <c r="AC31" i="16"/>
  <c r="Z31" i="16"/>
  <c r="AH30" i="16"/>
  <c r="AF30" i="16"/>
  <c r="AC30" i="16"/>
  <c r="Z30" i="16"/>
  <c r="AH29" i="16"/>
  <c r="AF29" i="16"/>
  <c r="AC29" i="16"/>
  <c r="Z29" i="16"/>
  <c r="AJ28" i="16"/>
  <c r="AH28" i="16"/>
  <c r="AF28" i="16"/>
  <c r="AC28" i="16"/>
  <c r="AH27" i="16"/>
  <c r="AF27" i="16"/>
  <c r="AC27" i="16"/>
  <c r="Z27" i="16"/>
  <c r="AH26" i="16"/>
  <c r="AF26" i="16"/>
  <c r="AC26" i="16"/>
  <c r="Z26" i="16"/>
  <c r="AJ25" i="16"/>
  <c r="AH25" i="16"/>
  <c r="AF25" i="16"/>
  <c r="AC25" i="16"/>
  <c r="Z25" i="16"/>
  <c r="AH24" i="16"/>
  <c r="AF24" i="16"/>
  <c r="AC24" i="16"/>
  <c r="Z24" i="16"/>
  <c r="AH23" i="16"/>
  <c r="AF23" i="16"/>
  <c r="AC23" i="16"/>
  <c r="Z23" i="16"/>
  <c r="AJ22" i="16"/>
  <c r="AH22" i="16"/>
  <c r="AF22" i="16"/>
  <c r="AC22" i="16"/>
  <c r="Z22" i="16"/>
  <c r="AH21" i="16"/>
  <c r="AF21" i="16"/>
  <c r="AC21" i="16"/>
  <c r="Z21" i="16"/>
  <c r="AH20" i="16"/>
  <c r="AF20" i="16"/>
  <c r="AC20" i="16"/>
  <c r="Z20" i="16"/>
  <c r="AJ19" i="16"/>
  <c r="AH19" i="16"/>
  <c r="AF19" i="16"/>
  <c r="AC19" i="16"/>
  <c r="Z19" i="16"/>
  <c r="AO36" i="10"/>
  <c r="Z27" i="10"/>
  <c r="AH43" i="10"/>
  <c r="AF43" i="10"/>
  <c r="AC43" i="10"/>
  <c r="Z43" i="10"/>
  <c r="AH42" i="10"/>
  <c r="AF42" i="10"/>
  <c r="AC42" i="10"/>
  <c r="Z42" i="10"/>
  <c r="AJ41" i="10"/>
  <c r="AH41" i="10"/>
  <c r="AF41" i="10"/>
  <c r="AC41" i="10"/>
  <c r="Z41" i="10"/>
  <c r="AH40" i="10"/>
  <c r="AF40" i="10"/>
  <c r="AC40" i="10"/>
  <c r="Z40" i="10"/>
  <c r="AH39" i="10"/>
  <c r="AF39" i="10"/>
  <c r="AC39" i="10"/>
  <c r="Z39" i="10"/>
  <c r="AJ38" i="10"/>
  <c r="AH38" i="10"/>
  <c r="AF38" i="10"/>
  <c r="AC38" i="10"/>
  <c r="Z38" i="10"/>
  <c r="AV36" i="10"/>
  <c r="AT36" i="10"/>
  <c r="AM36" i="10"/>
  <c r="AI36" i="10"/>
  <c r="AF36" i="10"/>
  <c r="AC36" i="10"/>
  <c r="AV35" i="10"/>
  <c r="AT35" i="10"/>
  <c r="AO35" i="10"/>
  <c r="AM35" i="10"/>
  <c r="AI35" i="10"/>
  <c r="AF35" i="10"/>
  <c r="AC35" i="10"/>
  <c r="Z35" i="10"/>
  <c r="AX34" i="10"/>
  <c r="AV34" i="10"/>
  <c r="AT34" i="10"/>
  <c r="AQ34" i="10"/>
  <c r="AO34" i="10"/>
  <c r="AM34" i="10"/>
  <c r="AI34" i="10"/>
  <c r="AF34" i="10"/>
  <c r="AC34" i="10"/>
  <c r="Z34" i="10"/>
  <c r="AH33" i="10"/>
  <c r="AF33" i="10"/>
  <c r="AC33" i="10"/>
  <c r="Z33" i="10"/>
  <c r="AH32" i="10"/>
  <c r="AF32" i="10"/>
  <c r="AC32" i="10"/>
  <c r="Z32" i="10"/>
  <c r="AJ31" i="10"/>
  <c r="AH31" i="10"/>
  <c r="AF31" i="10"/>
  <c r="AC31" i="10"/>
  <c r="Z31" i="10"/>
  <c r="AH30" i="10"/>
  <c r="AF30" i="10"/>
  <c r="AC30" i="10"/>
  <c r="Z30" i="10"/>
  <c r="AH29" i="10"/>
  <c r="AF29" i="10"/>
  <c r="AC29" i="10"/>
  <c r="Z29" i="10"/>
  <c r="AJ28" i="10"/>
  <c r="AH28" i="10"/>
  <c r="AF28" i="10"/>
  <c r="AC28" i="10"/>
  <c r="AH27" i="10"/>
  <c r="AF27" i="10"/>
  <c r="AC27" i="10"/>
  <c r="AH26" i="10"/>
  <c r="AF26" i="10"/>
  <c r="AC26" i="10"/>
  <c r="Z26" i="10"/>
  <c r="AJ25" i="10"/>
  <c r="AH25" i="10"/>
  <c r="AF25" i="10"/>
  <c r="AC25" i="10"/>
  <c r="Z25" i="10"/>
  <c r="AH24" i="10"/>
  <c r="AF24" i="10"/>
  <c r="AC24" i="10"/>
  <c r="Z24" i="10"/>
  <c r="AH23" i="10"/>
  <c r="AF23" i="10"/>
  <c r="AC23" i="10"/>
  <c r="Z23" i="10"/>
  <c r="AJ22" i="10"/>
  <c r="AH22" i="10"/>
  <c r="AF22" i="10"/>
  <c r="AC22" i="10"/>
  <c r="Z22" i="10"/>
  <c r="AH21" i="10"/>
  <c r="AF21" i="10"/>
  <c r="AC21" i="10"/>
  <c r="Z21" i="10"/>
  <c r="AH20" i="10"/>
  <c r="AF20" i="10"/>
  <c r="AC20" i="10"/>
  <c r="Z20" i="10"/>
  <c r="AJ19" i="10"/>
  <c r="AH19" i="10"/>
  <c r="AF19" i="10"/>
  <c r="AC19" i="10"/>
  <c r="Z19" i="10"/>
  <c r="Z20" i="2"/>
  <c r="AH40" i="2"/>
  <c r="AF40" i="2"/>
  <c r="AC40" i="2"/>
  <c r="Z40" i="2"/>
  <c r="AH39" i="2"/>
  <c r="AF39" i="2"/>
  <c r="AC39" i="2"/>
  <c r="Z39" i="2"/>
  <c r="AJ38" i="2"/>
  <c r="AH38" i="2"/>
  <c r="AF38" i="2"/>
  <c r="AC38" i="2"/>
  <c r="Z38" i="2"/>
  <c r="AH37" i="2"/>
  <c r="AF37" i="2"/>
  <c r="AC37" i="2"/>
  <c r="Z37" i="2"/>
  <c r="AH36" i="2"/>
  <c r="AF36" i="2"/>
  <c r="AC36" i="2"/>
  <c r="Z36" i="2"/>
  <c r="AJ35" i="2"/>
  <c r="AH35" i="2"/>
  <c r="AF35" i="2"/>
  <c r="AC35" i="2"/>
  <c r="Z35" i="2"/>
  <c r="AV33" i="2"/>
  <c r="AT33" i="2"/>
  <c r="AO33" i="2"/>
  <c r="AM33" i="2"/>
  <c r="AI33" i="2"/>
  <c r="AF33" i="2"/>
  <c r="AC33" i="2"/>
  <c r="Z33" i="2"/>
  <c r="AV32" i="2"/>
  <c r="AT32" i="2"/>
  <c r="AO32" i="2"/>
  <c r="AM32" i="2"/>
  <c r="AI32" i="2"/>
  <c r="AF32" i="2"/>
  <c r="AC32" i="2"/>
  <c r="Z32" i="2"/>
  <c r="AX31" i="2"/>
  <c r="AV31" i="2"/>
  <c r="AT31" i="2"/>
  <c r="AQ31" i="2"/>
  <c r="AO31" i="2"/>
  <c r="AM31" i="2"/>
  <c r="AI31" i="2"/>
  <c r="AF31" i="2"/>
  <c r="AC31" i="2"/>
  <c r="Z31" i="2"/>
  <c r="AH30" i="2"/>
  <c r="AF30" i="2"/>
  <c r="AC30" i="2"/>
  <c r="Z30" i="2"/>
  <c r="AH29" i="2"/>
  <c r="AF29" i="2"/>
  <c r="AC29" i="2"/>
  <c r="Z29" i="2"/>
  <c r="AJ28" i="2"/>
  <c r="AH28" i="2"/>
  <c r="AF28" i="2"/>
  <c r="AC28" i="2"/>
  <c r="Z28" i="2"/>
  <c r="AH27" i="2"/>
  <c r="AF27" i="2"/>
  <c r="AC27" i="2"/>
  <c r="Z27" i="2"/>
  <c r="AH26" i="2"/>
  <c r="AF26" i="2"/>
  <c r="AC26" i="2"/>
  <c r="Z26" i="2"/>
  <c r="AJ25" i="2"/>
  <c r="AH25" i="2"/>
  <c r="AF25" i="2"/>
  <c r="AC25" i="2"/>
  <c r="AH24" i="2"/>
  <c r="AF24" i="2"/>
  <c r="AC24" i="2"/>
  <c r="Z24" i="2"/>
  <c r="AH23" i="2"/>
  <c r="AF23" i="2"/>
  <c r="AC23" i="2"/>
  <c r="Z23" i="2"/>
  <c r="AJ22" i="2"/>
  <c r="AH22" i="2"/>
  <c r="AF22" i="2"/>
  <c r="AC22" i="2"/>
  <c r="Z22" i="2"/>
  <c r="AH21" i="2"/>
  <c r="AF21" i="2"/>
  <c r="AC21" i="2"/>
  <c r="Z21" i="2"/>
  <c r="AH20" i="2"/>
  <c r="AF20" i="2"/>
  <c r="AC20" i="2"/>
  <c r="AJ19" i="2"/>
  <c r="AH19" i="2"/>
  <c r="AF19" i="2"/>
  <c r="AC19" i="2"/>
  <c r="Z19" i="2"/>
  <c r="AH18" i="2"/>
  <c r="AF18" i="2"/>
  <c r="AC18" i="2"/>
  <c r="Z18" i="2"/>
  <c r="AH17" i="2"/>
  <c r="AF17" i="2"/>
  <c r="AC17" i="2"/>
  <c r="Z17" i="2"/>
  <c r="AJ16" i="2"/>
  <c r="AH16" i="2"/>
  <c r="AF16" i="2"/>
  <c r="AC16" i="2"/>
  <c r="Z16" i="2"/>
  <c r="AO33" i="5"/>
  <c r="Z24" i="5"/>
  <c r="AH40" i="5"/>
  <c r="AF40" i="5"/>
  <c r="AC40" i="5"/>
  <c r="Z40" i="5"/>
  <c r="AH39" i="5"/>
  <c r="AF39" i="5"/>
  <c r="AC39" i="5"/>
  <c r="Z39" i="5"/>
  <c r="AJ38" i="5"/>
  <c r="AH38" i="5"/>
  <c r="AF38" i="5"/>
  <c r="AC38" i="5"/>
  <c r="Z38" i="5"/>
  <c r="AH37" i="5"/>
  <c r="AF37" i="5"/>
  <c r="AC37" i="5"/>
  <c r="Z37" i="5"/>
  <c r="AH36" i="5"/>
  <c r="AF36" i="5"/>
  <c r="AC36" i="5"/>
  <c r="Z36" i="5"/>
  <c r="AJ35" i="5"/>
  <c r="AH35" i="5"/>
  <c r="AF35" i="5"/>
  <c r="AC35" i="5"/>
  <c r="Z35" i="5"/>
  <c r="AV33" i="5"/>
  <c r="AT33" i="5"/>
  <c r="AM33" i="5"/>
  <c r="AI33" i="5"/>
  <c r="AF33" i="5"/>
  <c r="AC33" i="5"/>
  <c r="Z33" i="5"/>
  <c r="AV32" i="5"/>
  <c r="AT32" i="5"/>
  <c r="AO32" i="5"/>
  <c r="AM32" i="5"/>
  <c r="AI32" i="5"/>
  <c r="AF32" i="5"/>
  <c r="AC32" i="5"/>
  <c r="Z32" i="5"/>
  <c r="AX31" i="5"/>
  <c r="AV31" i="5"/>
  <c r="AT31" i="5"/>
  <c r="AQ31" i="5"/>
  <c r="AO31" i="5"/>
  <c r="AM31" i="5"/>
  <c r="AI31" i="5"/>
  <c r="AF31" i="5"/>
  <c r="AC31" i="5"/>
  <c r="Z31" i="5"/>
  <c r="AH30" i="5"/>
  <c r="AF30" i="5"/>
  <c r="AC30" i="5"/>
  <c r="Z30" i="5"/>
  <c r="AH29" i="5"/>
  <c r="AF29" i="5"/>
  <c r="AC29" i="5"/>
  <c r="Z29" i="5"/>
  <c r="AJ28" i="5"/>
  <c r="AH28" i="5"/>
  <c r="AF28" i="5"/>
  <c r="AC28" i="5"/>
  <c r="Z28" i="5"/>
  <c r="AH27" i="5"/>
  <c r="AF27" i="5"/>
  <c r="AC27" i="5"/>
  <c r="Z27" i="5"/>
  <c r="AH26" i="5"/>
  <c r="AF26" i="5"/>
  <c r="AC26" i="5"/>
  <c r="Z26" i="5"/>
  <c r="AJ25" i="5"/>
  <c r="AH25" i="5"/>
  <c r="AF25" i="5"/>
  <c r="AC25" i="5"/>
  <c r="AH24" i="5"/>
  <c r="AF24" i="5"/>
  <c r="AC24" i="5"/>
  <c r="AH23" i="5"/>
  <c r="AF23" i="5"/>
  <c r="AC23" i="5"/>
  <c r="Z23" i="5"/>
  <c r="AJ22" i="5"/>
  <c r="AH22" i="5"/>
  <c r="AF22" i="5"/>
  <c r="AC22" i="5"/>
  <c r="Z22" i="5"/>
  <c r="AH21" i="5"/>
  <c r="AF21" i="5"/>
  <c r="AC21" i="5"/>
  <c r="Z21" i="5"/>
  <c r="AH20" i="5"/>
  <c r="AF20" i="5"/>
  <c r="AC20" i="5"/>
  <c r="Z20" i="5"/>
  <c r="AJ19" i="5"/>
  <c r="AH19" i="5"/>
  <c r="AF19" i="5"/>
  <c r="AC19" i="5"/>
  <c r="Z19" i="5"/>
  <c r="AH18" i="5"/>
  <c r="AF18" i="5"/>
  <c r="AC18" i="5"/>
  <c r="Z18" i="5"/>
  <c r="AH17" i="5"/>
  <c r="AF17" i="5"/>
  <c r="AC17" i="5"/>
  <c r="Z17" i="5"/>
  <c r="AJ16" i="5"/>
  <c r="AH16" i="5"/>
  <c r="AF16" i="5"/>
  <c r="AC16" i="5"/>
  <c r="Z16" i="5"/>
  <c r="AO36" i="12"/>
  <c r="Z27" i="12"/>
  <c r="AH43" i="12"/>
  <c r="AF43" i="12"/>
  <c r="AC43" i="12"/>
  <c r="Z43" i="12"/>
  <c r="AH42" i="12"/>
  <c r="AF42" i="12"/>
  <c r="AC42" i="12"/>
  <c r="Z42" i="12"/>
  <c r="AJ41" i="12"/>
  <c r="AH41" i="12"/>
  <c r="AF41" i="12"/>
  <c r="AC41" i="12"/>
  <c r="Z41" i="12"/>
  <c r="AH40" i="12"/>
  <c r="AF40" i="12"/>
  <c r="AC40" i="12"/>
  <c r="Z40" i="12"/>
  <c r="AH39" i="12"/>
  <c r="AF39" i="12"/>
  <c r="AC39" i="12"/>
  <c r="Z39" i="12"/>
  <c r="AJ38" i="12"/>
  <c r="AH38" i="12"/>
  <c r="AF38" i="12"/>
  <c r="AC38" i="12"/>
  <c r="Z38" i="12"/>
  <c r="AV36" i="12"/>
  <c r="AT36" i="12"/>
  <c r="AM36" i="12"/>
  <c r="AI36" i="12"/>
  <c r="AF36" i="12"/>
  <c r="AC36" i="12"/>
  <c r="AV35" i="12"/>
  <c r="AT35" i="12"/>
  <c r="AO35" i="12"/>
  <c r="AM35" i="12"/>
  <c r="AI35" i="12"/>
  <c r="AF35" i="12"/>
  <c r="AC35" i="12"/>
  <c r="AX34" i="12"/>
  <c r="AV34" i="12"/>
  <c r="AT34" i="12"/>
  <c r="AQ34" i="12"/>
  <c r="AO34" i="12"/>
  <c r="AM34" i="12"/>
  <c r="AI34" i="12"/>
  <c r="AF34" i="12"/>
  <c r="AC34" i="12"/>
  <c r="AH33" i="12"/>
  <c r="AF33" i="12"/>
  <c r="AC33" i="12"/>
  <c r="Z33" i="12"/>
  <c r="AH32" i="12"/>
  <c r="AF32" i="12"/>
  <c r="AC32" i="12"/>
  <c r="Z32" i="12"/>
  <c r="AJ31" i="12"/>
  <c r="AH31" i="12"/>
  <c r="AF31" i="12"/>
  <c r="AC31" i="12"/>
  <c r="Z31" i="12"/>
  <c r="AH30" i="12"/>
  <c r="AF30" i="12"/>
  <c r="AC30" i="12"/>
  <c r="Z30" i="12"/>
  <c r="AH29" i="12"/>
  <c r="AF29" i="12"/>
  <c r="AC29" i="12"/>
  <c r="Z29" i="12"/>
  <c r="AJ28" i="12"/>
  <c r="AH28" i="12"/>
  <c r="AF28" i="12"/>
  <c r="AC28" i="12"/>
  <c r="AH27" i="12"/>
  <c r="AF27" i="12"/>
  <c r="AC27" i="12"/>
  <c r="AH26" i="12"/>
  <c r="AF26" i="12"/>
  <c r="AC26" i="12"/>
  <c r="Z26" i="12"/>
  <c r="AJ25" i="12"/>
  <c r="AH25" i="12"/>
  <c r="AF25" i="12"/>
  <c r="AC25" i="12"/>
  <c r="Z25" i="12"/>
  <c r="AH24" i="12"/>
  <c r="AF24" i="12"/>
  <c r="AC24" i="12"/>
  <c r="Z24" i="12"/>
  <c r="AH23" i="12"/>
  <c r="AF23" i="12"/>
  <c r="AC23" i="12"/>
  <c r="Z23" i="12"/>
  <c r="AJ22" i="12"/>
  <c r="AH22" i="12"/>
  <c r="AF22" i="12"/>
  <c r="AC22" i="12"/>
  <c r="Z22" i="12"/>
  <c r="AH21" i="12"/>
  <c r="AF21" i="12"/>
  <c r="AC21" i="12"/>
  <c r="Z21" i="12"/>
  <c r="AH20" i="12"/>
  <c r="AF20" i="12"/>
  <c r="AC20" i="12"/>
  <c r="Z20" i="12"/>
  <c r="AJ19" i="12"/>
  <c r="AH19" i="12"/>
  <c r="AF19" i="12"/>
  <c r="AC19" i="12"/>
  <c r="Z19" i="12"/>
  <c r="AI33" i="6"/>
  <c r="AI32" i="6"/>
  <c r="AI31" i="6"/>
  <c r="AF33" i="6"/>
  <c r="AF32" i="6"/>
  <c r="AF31" i="6"/>
  <c r="AC40" i="6"/>
  <c r="AC39" i="6"/>
  <c r="AC38" i="6"/>
  <c r="AC37" i="6"/>
  <c r="AC36" i="6"/>
  <c r="AC35" i="6"/>
  <c r="AC33" i="6"/>
  <c r="AC31" i="6"/>
  <c r="AC32" i="6"/>
  <c r="AC30" i="6"/>
  <c r="AC29" i="6"/>
  <c r="AC28" i="6"/>
  <c r="AC27" i="6"/>
  <c r="AC24" i="6"/>
  <c r="AC25" i="6"/>
  <c r="AC22" i="6"/>
  <c r="AC21" i="6"/>
  <c r="AC20" i="6"/>
  <c r="Z40" i="6"/>
  <c r="Z39" i="6"/>
  <c r="Z38" i="6"/>
  <c r="Z37" i="6"/>
  <c r="Z36" i="6"/>
  <c r="Z35" i="6"/>
  <c r="Z32" i="6"/>
  <c r="Z31" i="6"/>
  <c r="Z30" i="6"/>
  <c r="Z29" i="6"/>
  <c r="Z28" i="6"/>
  <c r="Z27" i="6"/>
  <c r="Z26" i="6"/>
  <c r="Z21" i="6"/>
  <c r="Z20" i="6"/>
  <c r="Z19" i="6"/>
  <c r="Z18" i="6"/>
  <c r="AC19" i="6"/>
  <c r="AC18" i="6"/>
  <c r="AC17" i="6"/>
  <c r="AC16" i="6"/>
  <c r="AC26" i="6"/>
  <c r="Z33" i="6"/>
  <c r="Z23" i="6"/>
  <c r="Z22" i="6"/>
  <c r="AX31" i="6"/>
  <c r="AV33" i="6"/>
  <c r="AV32" i="6"/>
  <c r="AV31" i="6"/>
  <c r="AT33" i="6"/>
  <c r="AT32" i="6"/>
  <c r="AT31" i="6"/>
  <c r="AQ31" i="6"/>
  <c r="AO33" i="6"/>
  <c r="AO32" i="6"/>
  <c r="AO31" i="6"/>
  <c r="AM33" i="6"/>
  <c r="AM32" i="6"/>
  <c r="AM31" i="6"/>
  <c r="Z24" i="6"/>
  <c r="AH40" i="6"/>
  <c r="AF40" i="6"/>
  <c r="AH39" i="6"/>
  <c r="AF39" i="6"/>
  <c r="AJ38" i="6"/>
  <c r="AH38" i="6"/>
  <c r="AF38" i="6"/>
  <c r="AH37" i="6"/>
  <c r="AF37" i="6"/>
  <c r="AH36" i="6"/>
  <c r="AF36" i="6"/>
  <c r="AJ35" i="6"/>
  <c r="AH35" i="6"/>
  <c r="AF35" i="6"/>
  <c r="AH30" i="6"/>
  <c r="AF30" i="6"/>
  <c r="AH29" i="6"/>
  <c r="AF29" i="6"/>
  <c r="AJ28" i="6"/>
  <c r="AH28" i="6"/>
  <c r="AF28" i="6"/>
  <c r="AH27" i="6"/>
  <c r="AF27" i="6"/>
  <c r="AH26" i="6"/>
  <c r="AF26" i="6"/>
  <c r="AJ25" i="6"/>
  <c r="AH25" i="6"/>
  <c r="AF25" i="6"/>
  <c r="AH24" i="6"/>
  <c r="AF24" i="6"/>
  <c r="AH23" i="6"/>
  <c r="AF23" i="6"/>
  <c r="AC23" i="6"/>
  <c r="AJ22" i="6"/>
  <c r="AH22" i="6"/>
  <c r="AF22" i="6"/>
  <c r="AH21" i="6"/>
  <c r="AF21" i="6"/>
  <c r="AH20" i="6"/>
  <c r="AF20" i="6"/>
  <c r="AJ19" i="6"/>
  <c r="AH19" i="6"/>
  <c r="AF19" i="6"/>
  <c r="AH18" i="6"/>
  <c r="AF18" i="6"/>
  <c r="AH17" i="6"/>
  <c r="AF17" i="6"/>
  <c r="AJ16" i="6"/>
  <c r="AH16" i="6"/>
  <c r="AF16" i="6"/>
  <c r="AH43" i="13"/>
  <c r="AF43" i="13"/>
  <c r="AC43" i="13"/>
  <c r="Z43" i="13"/>
  <c r="AH42" i="13"/>
  <c r="AF42" i="13"/>
  <c r="AC42" i="13"/>
  <c r="Z42" i="13"/>
  <c r="AJ41" i="13"/>
  <c r="AH41" i="13"/>
  <c r="AF41" i="13"/>
  <c r="AC41" i="13"/>
  <c r="Z41" i="13"/>
  <c r="AH40" i="13"/>
  <c r="AF40" i="13"/>
  <c r="AC40" i="13"/>
  <c r="Z40" i="13"/>
  <c r="AH39" i="13"/>
  <c r="AF39" i="13"/>
  <c r="AC39" i="13"/>
  <c r="Z39" i="13"/>
  <c r="AJ38" i="13"/>
  <c r="AH38" i="13"/>
  <c r="AF38" i="13"/>
  <c r="AC38" i="13"/>
  <c r="Z38" i="13"/>
  <c r="AV36" i="13"/>
  <c r="AT36" i="13"/>
  <c r="AO36" i="13"/>
  <c r="AM36" i="13"/>
  <c r="AI36" i="13"/>
  <c r="AF36" i="13"/>
  <c r="AC36" i="13"/>
  <c r="Z36" i="13"/>
  <c r="AV35" i="13"/>
  <c r="AT35" i="13"/>
  <c r="AO35" i="13"/>
  <c r="AM35" i="13"/>
  <c r="AI35" i="13"/>
  <c r="AF35" i="13"/>
  <c r="AC35" i="13"/>
  <c r="Z35" i="13"/>
  <c r="AX34" i="13"/>
  <c r="AV34" i="13"/>
  <c r="AT34" i="13"/>
  <c r="AQ34" i="13"/>
  <c r="AO34" i="13"/>
  <c r="AM34" i="13"/>
  <c r="AI34" i="13"/>
  <c r="AF34" i="13"/>
  <c r="AC34" i="13"/>
  <c r="Z34" i="13"/>
  <c r="AH33" i="13"/>
  <c r="AF33" i="13"/>
  <c r="AC33" i="13"/>
  <c r="Z33" i="13"/>
  <c r="AH32" i="13"/>
  <c r="AF32" i="13"/>
  <c r="AC32" i="13"/>
  <c r="Z32" i="13"/>
  <c r="AJ31" i="13"/>
  <c r="AH31" i="13"/>
  <c r="AF31" i="13"/>
  <c r="AC31" i="13"/>
  <c r="Z31" i="13"/>
  <c r="AH30" i="13"/>
  <c r="AF30" i="13"/>
  <c r="AC30" i="13"/>
  <c r="Z30" i="13"/>
  <c r="AH29" i="13"/>
  <c r="AF29" i="13"/>
  <c r="AC29" i="13"/>
  <c r="Z29" i="13"/>
  <c r="AJ28" i="13"/>
  <c r="AH28" i="13"/>
  <c r="AF28" i="13"/>
  <c r="AC28" i="13"/>
  <c r="AH27" i="13"/>
  <c r="AF27" i="13"/>
  <c r="AC27" i="13"/>
  <c r="Z27" i="13"/>
  <c r="AH26" i="13"/>
  <c r="AF26" i="13"/>
  <c r="AC26" i="13"/>
  <c r="Z26" i="13"/>
  <c r="AJ25" i="13"/>
  <c r="AH25" i="13"/>
  <c r="AF25" i="13"/>
  <c r="AC25" i="13"/>
  <c r="Z25" i="13"/>
  <c r="AH24" i="13"/>
  <c r="AF24" i="13"/>
  <c r="AC24" i="13"/>
  <c r="Z24" i="13"/>
  <c r="AH23" i="13"/>
  <c r="AF23" i="13"/>
  <c r="AC23" i="13"/>
  <c r="Z23" i="13"/>
  <c r="AJ22" i="13"/>
  <c r="AH22" i="13"/>
  <c r="AF22" i="13"/>
  <c r="AC22" i="13"/>
  <c r="Z22" i="13"/>
  <c r="AH21" i="13"/>
  <c r="AF21" i="13"/>
  <c r="AC21" i="13"/>
  <c r="Z21" i="13"/>
  <c r="AH20" i="13"/>
  <c r="AF20" i="13"/>
  <c r="AC20" i="13"/>
  <c r="Z20" i="13"/>
  <c r="AJ19" i="13"/>
  <c r="AH19" i="13"/>
  <c r="AF19" i="13"/>
  <c r="AC19" i="13"/>
  <c r="Z19" i="13"/>
  <c r="AH43" i="11"/>
  <c r="AF43" i="11"/>
  <c r="AC43" i="11"/>
  <c r="Z43" i="11"/>
  <c r="AH42" i="11"/>
  <c r="AC42" i="11"/>
  <c r="Z42" i="11"/>
  <c r="AJ41" i="11"/>
  <c r="AH41" i="11"/>
  <c r="AF41" i="11"/>
  <c r="AC41" i="11"/>
  <c r="Z41" i="11"/>
  <c r="AH40" i="11"/>
  <c r="AF40" i="11"/>
  <c r="AC40" i="11"/>
  <c r="Z40" i="11"/>
  <c r="AH39" i="11"/>
  <c r="AF39" i="11"/>
  <c r="AC39" i="11"/>
  <c r="Z39" i="11"/>
  <c r="AJ38" i="11"/>
  <c r="AH38" i="11"/>
  <c r="AF38" i="11"/>
  <c r="AC38" i="11"/>
  <c r="Z38" i="11"/>
  <c r="AV36" i="11"/>
  <c r="AT36" i="11"/>
  <c r="AO36" i="11"/>
  <c r="AM36" i="11"/>
  <c r="AI36" i="11"/>
  <c r="AF36" i="11"/>
  <c r="AC36" i="11"/>
  <c r="Z36" i="11"/>
  <c r="AV35" i="11"/>
  <c r="AT35" i="11"/>
  <c r="AO35" i="11"/>
  <c r="AM35" i="11"/>
  <c r="AI35" i="11"/>
  <c r="AF35" i="11"/>
  <c r="AC35" i="11"/>
  <c r="Z35" i="11"/>
  <c r="AX34" i="11"/>
  <c r="AV34" i="11"/>
  <c r="AT34" i="11"/>
  <c r="AQ34" i="11"/>
  <c r="AO34" i="11"/>
  <c r="AM34" i="11"/>
  <c r="AI34" i="11"/>
  <c r="AF34" i="11"/>
  <c r="AC34" i="11"/>
  <c r="Z34" i="11"/>
  <c r="AH33" i="11"/>
  <c r="AF33" i="11"/>
  <c r="AC33" i="11"/>
  <c r="Z33" i="11"/>
  <c r="AH32" i="11"/>
  <c r="AF32" i="11"/>
  <c r="AC32" i="11"/>
  <c r="Z32" i="11"/>
  <c r="AJ31" i="11"/>
  <c r="AH31" i="11"/>
  <c r="AF31" i="11"/>
  <c r="AC31" i="11"/>
  <c r="Z31" i="11"/>
  <c r="AH30" i="11"/>
  <c r="AF30" i="11"/>
  <c r="AC30" i="11"/>
  <c r="Z30" i="11"/>
  <c r="AH29" i="11"/>
  <c r="AF29" i="11"/>
  <c r="AC29" i="11"/>
  <c r="Z29" i="11"/>
  <c r="AJ28" i="11"/>
  <c r="AH28" i="11"/>
  <c r="AF28" i="11"/>
  <c r="AC28" i="11"/>
  <c r="AH27" i="11"/>
  <c r="AF27" i="11"/>
  <c r="AC27" i="11"/>
  <c r="Z27" i="11"/>
  <c r="AH26" i="11"/>
  <c r="AF26" i="11"/>
  <c r="AC26" i="11"/>
  <c r="Z26" i="11"/>
  <c r="AJ25" i="11"/>
  <c r="AH25" i="11"/>
  <c r="AF25" i="11"/>
  <c r="AC25" i="11"/>
  <c r="Z25" i="11"/>
  <c r="AH24" i="11"/>
  <c r="AF24" i="11"/>
  <c r="AC24" i="11"/>
  <c r="Z24" i="11"/>
  <c r="AH23" i="11"/>
  <c r="AF23" i="11"/>
  <c r="AC23" i="11"/>
  <c r="Z23" i="11"/>
  <c r="AJ22" i="11"/>
  <c r="AH22" i="11"/>
  <c r="AF22" i="11"/>
  <c r="AC22" i="11"/>
  <c r="Z22" i="11"/>
  <c r="AH21" i="11"/>
  <c r="AF21" i="11"/>
  <c r="AC21" i="11"/>
  <c r="AH20" i="11"/>
  <c r="AF20" i="11"/>
  <c r="AC20" i="11"/>
  <c r="AJ19" i="11"/>
  <c r="AH19" i="11"/>
  <c r="AF19" i="11"/>
  <c r="AC19" i="11"/>
  <c r="AX34" i="17"/>
  <c r="AP28" i="19" s="1"/>
  <c r="AV36" i="17"/>
  <c r="AM30" i="19" s="1"/>
  <c r="AV35" i="17"/>
  <c r="AM29" i="19" s="1"/>
  <c r="AV34" i="17"/>
  <c r="AM28" i="19" s="1"/>
  <c r="AT36" i="17"/>
  <c r="AJ30" i="19" s="1"/>
  <c r="AT35" i="17"/>
  <c r="AJ29" i="19" s="1"/>
  <c r="AT34" i="17"/>
  <c r="AJ28" i="19" s="1"/>
  <c r="AQ34" i="17"/>
  <c r="AF28" i="19" s="1"/>
  <c r="AO36" i="17"/>
  <c r="AC30" i="19" s="1"/>
  <c r="AO35" i="17"/>
  <c r="AC29" i="19" s="1"/>
  <c r="AO34" i="17"/>
  <c r="AC28" i="19" s="1"/>
  <c r="AM36" i="17"/>
  <c r="Z30" i="19" s="1"/>
  <c r="AM35" i="17"/>
  <c r="Z29" i="19" s="1"/>
  <c r="AM34" i="17"/>
  <c r="Z28" i="19" s="1"/>
  <c r="AH33" i="17"/>
  <c r="S27" i="19" s="1"/>
  <c r="AH31" i="17"/>
  <c r="S25" i="19" s="1"/>
  <c r="AF31" i="17"/>
  <c r="P25" i="19" s="1"/>
  <c r="AC33" i="17"/>
  <c r="L27" i="19" s="1"/>
  <c r="AC28" i="17"/>
  <c r="L22" i="19" s="1"/>
  <c r="AF33" i="17"/>
  <c r="P27" i="19" s="1"/>
  <c r="AF27" i="17"/>
  <c r="P21" i="19" s="1"/>
  <c r="AF30" i="17"/>
  <c r="P24" i="19" s="1"/>
  <c r="AJ31" i="17"/>
  <c r="V25" i="19" s="1"/>
  <c r="AH32" i="17"/>
  <c r="S26" i="19" s="1"/>
  <c r="AF32" i="17"/>
  <c r="P26" i="19" s="1"/>
  <c r="AJ28" i="17"/>
  <c r="V22" i="19" s="1"/>
  <c r="AH30" i="17"/>
  <c r="S24" i="19" s="1"/>
  <c r="AH29" i="17"/>
  <c r="S23" i="19" s="1"/>
  <c r="AH28" i="17"/>
  <c r="S22" i="19" s="1"/>
  <c r="AF29" i="17"/>
  <c r="P23" i="19" s="1"/>
  <c r="AF28" i="17"/>
  <c r="P22" i="19" s="1"/>
  <c r="AJ25" i="17"/>
  <c r="V19" i="19" s="1"/>
  <c r="AH27" i="17"/>
  <c r="S21" i="19" s="1"/>
  <c r="AH26" i="17"/>
  <c r="S20" i="19" s="1"/>
  <c r="AH25" i="17"/>
  <c r="S19" i="19" s="1"/>
  <c r="AF26" i="17"/>
  <c r="P20" i="19" s="1"/>
  <c r="AF25" i="17"/>
  <c r="P19" i="19" s="1"/>
  <c r="AJ41" i="17"/>
  <c r="V35" i="19" s="1"/>
  <c r="AH43" i="17"/>
  <c r="S37" i="19" s="1"/>
  <c r="AH42" i="17"/>
  <c r="S36" i="19" s="1"/>
  <c r="AH41" i="17"/>
  <c r="S35" i="19" s="1"/>
  <c r="AF43" i="17"/>
  <c r="P37" i="19" s="1"/>
  <c r="AF42" i="17"/>
  <c r="AF41" i="17"/>
  <c r="P35" i="19" s="1"/>
  <c r="AJ38" i="17"/>
  <c r="V32" i="19" s="1"/>
  <c r="AH40" i="17"/>
  <c r="S34" i="19" s="1"/>
  <c r="AH39" i="17"/>
  <c r="S33" i="19" s="1"/>
  <c r="AH38" i="17"/>
  <c r="S32" i="19" s="1"/>
  <c r="AF40" i="17"/>
  <c r="P34" i="19" s="1"/>
  <c r="AF39" i="17"/>
  <c r="P33" i="19" s="1"/>
  <c r="AF38" i="17"/>
  <c r="P32" i="19" s="1"/>
  <c r="AJ22" i="17"/>
  <c r="V16" i="19" s="1"/>
  <c r="AH24" i="17"/>
  <c r="S18" i="19" s="1"/>
  <c r="AH23" i="17"/>
  <c r="S17" i="19" s="1"/>
  <c r="AH22" i="17"/>
  <c r="S16" i="19" s="1"/>
  <c r="AF24" i="17"/>
  <c r="P18" i="19" s="1"/>
  <c r="AF23" i="17"/>
  <c r="P17" i="19" s="1"/>
  <c r="AF22" i="17"/>
  <c r="P16" i="19" s="1"/>
  <c r="AJ19" i="17"/>
  <c r="V13" i="19" s="1"/>
  <c r="AH21" i="17"/>
  <c r="S15" i="19" s="1"/>
  <c r="AH20" i="17"/>
  <c r="S14" i="19" s="1"/>
  <c r="AH19" i="17"/>
  <c r="S13" i="19" s="1"/>
  <c r="AF21" i="17"/>
  <c r="P15" i="19" s="1"/>
  <c r="AF20" i="17"/>
  <c r="P14" i="19" s="1"/>
  <c r="AF19" i="17"/>
  <c r="P13" i="19" s="1"/>
  <c r="AI36" i="17"/>
  <c r="T30" i="19" s="1"/>
  <c r="AI35" i="17"/>
  <c r="T29" i="19" s="1"/>
  <c r="AI34" i="17"/>
  <c r="T28" i="19" s="1"/>
  <c r="AF36" i="17"/>
  <c r="P30" i="19" s="1"/>
  <c r="AF35" i="17"/>
  <c r="P29" i="19" s="1"/>
  <c r="AF34" i="17"/>
  <c r="P28" i="19" s="1"/>
  <c r="AC43" i="17"/>
  <c r="L37" i="19" s="1"/>
  <c r="AC42" i="17"/>
  <c r="L36" i="19" s="1"/>
  <c r="AC41" i="17"/>
  <c r="L35" i="19" s="1"/>
  <c r="AC40" i="17"/>
  <c r="L34" i="19" s="1"/>
  <c r="AC39" i="17"/>
  <c r="L33" i="19" s="1"/>
  <c r="AC38" i="17"/>
  <c r="L32" i="19" s="1"/>
  <c r="AC36" i="17"/>
  <c r="L30" i="19" s="1"/>
  <c r="AC35" i="17"/>
  <c r="L29" i="19" s="1"/>
  <c r="AC34" i="17"/>
  <c r="L28" i="19" s="1"/>
  <c r="AC32" i="17"/>
  <c r="L26" i="19" s="1"/>
  <c r="AC31" i="17"/>
  <c r="L25" i="19" s="1"/>
  <c r="AC30" i="17"/>
  <c r="L24" i="19" s="1"/>
  <c r="AC29" i="17"/>
  <c r="L23" i="19" s="1"/>
  <c r="Z27" i="17"/>
  <c r="H21" i="19" s="1"/>
  <c r="Z26" i="17"/>
  <c r="H20" i="19" s="1"/>
  <c r="Z29" i="17"/>
  <c r="H23" i="19" s="1"/>
  <c r="Z30" i="17"/>
  <c r="H24" i="19" s="1"/>
  <c r="AC27" i="17"/>
  <c r="L21" i="19" s="1"/>
  <c r="AC26" i="17"/>
  <c r="L20" i="19" s="1"/>
  <c r="AC25" i="17"/>
  <c r="L19" i="19" s="1"/>
  <c r="Z25" i="17"/>
  <c r="H19" i="19" s="1"/>
  <c r="AC24" i="17"/>
  <c r="L18" i="19" s="1"/>
  <c r="AC23" i="17"/>
  <c r="L17" i="19" s="1"/>
  <c r="AC22" i="17"/>
  <c r="L16" i="19" s="1"/>
  <c r="AC21" i="17"/>
  <c r="L15" i="19" s="1"/>
  <c r="AC20" i="17"/>
  <c r="L14" i="19" s="1"/>
  <c r="AC19" i="17"/>
  <c r="L13" i="19" s="1"/>
  <c r="Z43" i="17"/>
  <c r="H37" i="19" s="1"/>
  <c r="Z42" i="17"/>
  <c r="H36" i="19" s="1"/>
  <c r="Z41" i="17"/>
  <c r="H35" i="19" s="1"/>
  <c r="Z40" i="17"/>
  <c r="H34" i="19" s="1"/>
  <c r="Z39" i="17"/>
  <c r="H33" i="19" s="1"/>
  <c r="Z38" i="17"/>
  <c r="H32" i="19" s="1"/>
  <c r="Z36" i="17"/>
  <c r="Z35" i="17"/>
  <c r="H29" i="19" s="1"/>
  <c r="Z34" i="17"/>
  <c r="H28" i="19" s="1"/>
  <c r="Z33" i="17"/>
  <c r="H27" i="19" s="1"/>
  <c r="Z32" i="17"/>
  <c r="H26" i="19" s="1"/>
  <c r="Z31" i="17"/>
  <c r="Z24" i="17"/>
  <c r="H18" i="19" s="1"/>
  <c r="Z23" i="17"/>
  <c r="H17" i="19" s="1"/>
  <c r="Z22" i="17"/>
  <c r="H16" i="19" s="1"/>
  <c r="Z21" i="17"/>
  <c r="H15" i="19" s="1"/>
  <c r="Z20" i="17"/>
  <c r="H14" i="19" s="1"/>
  <c r="Z19" i="17"/>
  <c r="H13" i="19" s="1"/>
  <c r="W8" i="9"/>
  <c r="W11" i="6"/>
  <c r="W14" i="18"/>
  <c r="W13" i="18"/>
  <c r="W43" i="18"/>
  <c r="W42" i="18"/>
  <c r="W41" i="18"/>
  <c r="W40" i="18"/>
  <c r="W39" i="18"/>
  <c r="W38" i="18"/>
  <c r="W37" i="18"/>
  <c r="W36" i="18"/>
  <c r="W35" i="18"/>
  <c r="W34" i="18"/>
  <c r="W33" i="18"/>
  <c r="W32" i="18"/>
  <c r="W31" i="18"/>
  <c r="W30" i="18"/>
  <c r="W29" i="18"/>
  <c r="W28" i="18"/>
  <c r="W27" i="18"/>
  <c r="W26" i="18"/>
  <c r="W25" i="18"/>
  <c r="W24" i="18"/>
  <c r="W23" i="18"/>
  <c r="W22" i="18"/>
  <c r="W21" i="18"/>
  <c r="W20" i="18"/>
  <c r="W19" i="18"/>
  <c r="W12" i="18"/>
  <c r="W11" i="18"/>
  <c r="W10" i="18"/>
  <c r="W9" i="18"/>
  <c r="W8" i="18"/>
  <c r="W7" i="18"/>
  <c r="W6" i="18"/>
  <c r="W4" i="18"/>
  <c r="W3" i="18"/>
  <c r="W2" i="18"/>
  <c r="W15" i="17"/>
  <c r="W14" i="17"/>
  <c r="W13" i="17"/>
  <c r="W43" i="17"/>
  <c r="W42" i="17"/>
  <c r="W41" i="17"/>
  <c r="W40" i="17"/>
  <c r="W39" i="17"/>
  <c r="W38" i="17"/>
  <c r="W37" i="17"/>
  <c r="W36" i="17"/>
  <c r="W35" i="17"/>
  <c r="W34" i="17"/>
  <c r="W33" i="17"/>
  <c r="W32" i="17"/>
  <c r="W31" i="17"/>
  <c r="W30" i="17"/>
  <c r="W29" i="17"/>
  <c r="W27" i="17"/>
  <c r="W26" i="17"/>
  <c r="W25" i="17"/>
  <c r="W24" i="17"/>
  <c r="W23" i="17"/>
  <c r="W22" i="17"/>
  <c r="W21" i="17"/>
  <c r="W20" i="17"/>
  <c r="C14" i="19" s="1"/>
  <c r="W19" i="17"/>
  <c r="C13" i="19" s="1"/>
  <c r="W12" i="17"/>
  <c r="W11" i="17"/>
  <c r="W10" i="17"/>
  <c r="W9" i="17"/>
  <c r="W8" i="17"/>
  <c r="W7" i="17"/>
  <c r="W6" i="17"/>
  <c r="W4" i="17"/>
  <c r="W3" i="17"/>
  <c r="W2" i="17"/>
  <c r="W14" i="16"/>
  <c r="W13" i="16"/>
  <c r="W43" i="16"/>
  <c r="W42" i="16"/>
  <c r="W41" i="16"/>
  <c r="W40" i="16"/>
  <c r="W39" i="16"/>
  <c r="W38" i="16"/>
  <c r="W37" i="16"/>
  <c r="W36" i="16"/>
  <c r="W35" i="16"/>
  <c r="W34" i="16"/>
  <c r="W33" i="16"/>
  <c r="W32" i="16"/>
  <c r="W31" i="16"/>
  <c r="W30" i="16"/>
  <c r="W29" i="16"/>
  <c r="W28" i="16"/>
  <c r="W27" i="16"/>
  <c r="W26" i="16"/>
  <c r="W25" i="16"/>
  <c r="W24" i="16"/>
  <c r="W23" i="16"/>
  <c r="W22" i="16"/>
  <c r="W21" i="16"/>
  <c r="W20" i="16"/>
  <c r="W19" i="16"/>
  <c r="W12" i="16"/>
  <c r="W11" i="16"/>
  <c r="W10" i="16"/>
  <c r="W9" i="16"/>
  <c r="W8" i="16"/>
  <c r="W7" i="16"/>
  <c r="W6" i="16"/>
  <c r="W4" i="16"/>
  <c r="W3" i="16"/>
  <c r="W2" i="16"/>
  <c r="W15" i="15"/>
  <c r="W14" i="15"/>
  <c r="W13" i="15"/>
  <c r="W43" i="15"/>
  <c r="W42" i="15"/>
  <c r="W41" i="15"/>
  <c r="W40" i="15"/>
  <c r="W39" i="15"/>
  <c r="W38" i="15"/>
  <c r="W37" i="15"/>
  <c r="W36" i="15"/>
  <c r="W35" i="15"/>
  <c r="W34" i="15"/>
  <c r="W33" i="15"/>
  <c r="W32" i="15"/>
  <c r="W31" i="15"/>
  <c r="W30" i="15"/>
  <c r="W29" i="15"/>
  <c r="W28" i="15"/>
  <c r="W27" i="15"/>
  <c r="W26" i="15"/>
  <c r="W25" i="15"/>
  <c r="W24" i="15"/>
  <c r="W23" i="15"/>
  <c r="W22" i="15"/>
  <c r="W21" i="15"/>
  <c r="W20" i="15"/>
  <c r="W19" i="15"/>
  <c r="W12" i="15"/>
  <c r="W11" i="15"/>
  <c r="W10" i="15"/>
  <c r="W9" i="15"/>
  <c r="W8" i="15"/>
  <c r="W7" i="15"/>
  <c r="W6" i="15"/>
  <c r="W4" i="15"/>
  <c r="W3" i="15"/>
  <c r="W2" i="15"/>
  <c r="W15" i="14"/>
  <c r="W14" i="14"/>
  <c r="W13" i="14"/>
  <c r="W43" i="14"/>
  <c r="W42" i="14"/>
  <c r="W41" i="14"/>
  <c r="W40" i="14"/>
  <c r="W39" i="14"/>
  <c r="W38" i="14"/>
  <c r="W37" i="14"/>
  <c r="W36" i="14"/>
  <c r="W35" i="14"/>
  <c r="W34" i="14"/>
  <c r="W33" i="14"/>
  <c r="W32" i="14"/>
  <c r="W31" i="14"/>
  <c r="W30" i="14"/>
  <c r="W29" i="14"/>
  <c r="W28" i="14"/>
  <c r="W27" i="14"/>
  <c r="W26" i="14"/>
  <c r="W25" i="14"/>
  <c r="W24" i="14"/>
  <c r="W23" i="14"/>
  <c r="W22" i="14"/>
  <c r="W21" i="14"/>
  <c r="W20" i="14"/>
  <c r="W19" i="14"/>
  <c r="W12" i="14"/>
  <c r="W11" i="14"/>
  <c r="W10" i="14"/>
  <c r="W9" i="14"/>
  <c r="W8" i="14"/>
  <c r="W7" i="14"/>
  <c r="W6" i="14"/>
  <c r="W4" i="14"/>
  <c r="W3" i="14"/>
  <c r="W2" i="14"/>
  <c r="W15" i="13"/>
  <c r="W14" i="13"/>
  <c r="W13" i="13"/>
  <c r="W43" i="13"/>
  <c r="W42" i="13"/>
  <c r="W41" i="13"/>
  <c r="W40" i="13"/>
  <c r="W39" i="13"/>
  <c r="W38" i="13"/>
  <c r="W37" i="13"/>
  <c r="W36" i="13"/>
  <c r="W35" i="13"/>
  <c r="W34" i="13"/>
  <c r="W33" i="13"/>
  <c r="W32" i="13"/>
  <c r="W31" i="13"/>
  <c r="W30" i="13"/>
  <c r="W29" i="13"/>
  <c r="W28" i="13"/>
  <c r="W27" i="13"/>
  <c r="W26" i="13"/>
  <c r="W25" i="13"/>
  <c r="W24" i="13"/>
  <c r="W23" i="13"/>
  <c r="W22" i="13"/>
  <c r="W21" i="13"/>
  <c r="W20" i="13"/>
  <c r="W19" i="13"/>
  <c r="W12" i="13"/>
  <c r="W11" i="13"/>
  <c r="W10" i="13"/>
  <c r="W9" i="13"/>
  <c r="W8" i="13"/>
  <c r="W7" i="13"/>
  <c r="W6" i="13"/>
  <c r="W4" i="13"/>
  <c r="W3" i="13"/>
  <c r="W2" i="13"/>
  <c r="W15" i="12"/>
  <c r="W14" i="12"/>
  <c r="W13" i="12"/>
  <c r="W43" i="12"/>
  <c r="W42" i="12"/>
  <c r="W41" i="12"/>
  <c r="W40" i="12"/>
  <c r="W39" i="12"/>
  <c r="W38" i="12"/>
  <c r="W37" i="12"/>
  <c r="W36" i="12"/>
  <c r="W35" i="12"/>
  <c r="W33" i="12"/>
  <c r="W32" i="12"/>
  <c r="W31" i="12"/>
  <c r="W30" i="12"/>
  <c r="W29" i="12"/>
  <c r="W28" i="12"/>
  <c r="W27" i="12"/>
  <c r="W26" i="12"/>
  <c r="W25" i="12"/>
  <c r="W24" i="12"/>
  <c r="W23" i="12"/>
  <c r="W22" i="12"/>
  <c r="W21" i="12"/>
  <c r="W20" i="12"/>
  <c r="W19" i="12"/>
  <c r="W12" i="12"/>
  <c r="W11" i="12"/>
  <c r="W10" i="12"/>
  <c r="W9" i="12"/>
  <c r="W8" i="12"/>
  <c r="W7" i="12"/>
  <c r="W6" i="12"/>
  <c r="W4" i="12"/>
  <c r="W3" i="12"/>
  <c r="W2" i="12"/>
  <c r="W5" i="12" s="1"/>
  <c r="W15" i="11"/>
  <c r="W14" i="11"/>
  <c r="W13" i="11"/>
  <c r="W43" i="11"/>
  <c r="W42" i="11"/>
  <c r="W41" i="11"/>
  <c r="W40" i="11"/>
  <c r="W39" i="11"/>
  <c r="W38" i="11"/>
  <c r="W37" i="11"/>
  <c r="W36" i="11"/>
  <c r="W35" i="11"/>
  <c r="W34" i="11"/>
  <c r="W33" i="11"/>
  <c r="W32" i="11"/>
  <c r="W31" i="11"/>
  <c r="W30" i="11"/>
  <c r="W29" i="11"/>
  <c r="W28" i="11"/>
  <c r="W27" i="11"/>
  <c r="W26" i="11"/>
  <c r="W25" i="11"/>
  <c r="W24" i="11"/>
  <c r="W23" i="11"/>
  <c r="W22" i="11"/>
  <c r="W21" i="11"/>
  <c r="W20" i="11"/>
  <c r="W19" i="11"/>
  <c r="W12" i="11"/>
  <c r="W11" i="11"/>
  <c r="W10" i="11"/>
  <c r="W9" i="11"/>
  <c r="W8" i="11"/>
  <c r="W7" i="11"/>
  <c r="W6" i="11"/>
  <c r="W4" i="11"/>
  <c r="W3" i="11"/>
  <c r="W2" i="11"/>
  <c r="W13" i="10"/>
  <c r="W15" i="10"/>
  <c r="W14" i="10"/>
  <c r="W43" i="10"/>
  <c r="W42" i="10"/>
  <c r="W41" i="10"/>
  <c r="W40" i="10"/>
  <c r="W39" i="10"/>
  <c r="W38" i="10"/>
  <c r="W37" i="10"/>
  <c r="W36" i="10"/>
  <c r="W35" i="10"/>
  <c r="W34" i="10"/>
  <c r="W33" i="10"/>
  <c r="W32" i="10"/>
  <c r="W31" i="10"/>
  <c r="W30" i="10"/>
  <c r="W29" i="10"/>
  <c r="W28" i="10"/>
  <c r="W27" i="10"/>
  <c r="W26" i="10"/>
  <c r="W25" i="10"/>
  <c r="W24" i="10"/>
  <c r="W23" i="10"/>
  <c r="W22" i="10"/>
  <c r="W21" i="10"/>
  <c r="W20" i="10"/>
  <c r="W19" i="10"/>
  <c r="W12" i="10"/>
  <c r="W11" i="10"/>
  <c r="W10" i="10"/>
  <c r="W9" i="10"/>
  <c r="W8" i="10"/>
  <c r="W7" i="10"/>
  <c r="W6" i="10"/>
  <c r="W4" i="10"/>
  <c r="W3" i="10"/>
  <c r="W2" i="10"/>
  <c r="W5" i="10" s="1"/>
  <c r="W30" i="9"/>
  <c r="W29" i="9"/>
  <c r="W28" i="9"/>
  <c r="W27" i="9"/>
  <c r="W26" i="9"/>
  <c r="W24" i="9"/>
  <c r="W22" i="9"/>
  <c r="W21" i="9"/>
  <c r="W20" i="9"/>
  <c r="W19" i="9"/>
  <c r="W17" i="9"/>
  <c r="W43" i="9"/>
  <c r="W42" i="9"/>
  <c r="W41" i="9"/>
  <c r="W40" i="9"/>
  <c r="W39" i="9"/>
  <c r="W38" i="9"/>
  <c r="W37" i="9"/>
  <c r="W36" i="9"/>
  <c r="W35" i="9"/>
  <c r="W34" i="9"/>
  <c r="W33" i="9"/>
  <c r="W32" i="9"/>
  <c r="W31" i="9"/>
  <c r="W25" i="9"/>
  <c r="W23" i="9"/>
  <c r="W18" i="9"/>
  <c r="W16" i="9"/>
  <c r="W14" i="9"/>
  <c r="W13" i="9"/>
  <c r="W15" i="9"/>
  <c r="W12" i="9"/>
  <c r="W11" i="9"/>
  <c r="W10" i="9"/>
  <c r="W9" i="9"/>
  <c r="W7" i="9"/>
  <c r="W6" i="9"/>
  <c r="W4" i="9"/>
  <c r="W3" i="9"/>
  <c r="W2" i="9"/>
  <c r="W15" i="8"/>
  <c r="W14" i="8"/>
  <c r="W13" i="8"/>
  <c r="W40" i="8"/>
  <c r="W39" i="8"/>
  <c r="W38" i="8"/>
  <c r="W37" i="8"/>
  <c r="W36" i="8"/>
  <c r="W35" i="8"/>
  <c r="W34" i="8"/>
  <c r="W33" i="8"/>
  <c r="W32" i="8"/>
  <c r="W31" i="8"/>
  <c r="W30" i="8"/>
  <c r="W29" i="8"/>
  <c r="W28" i="8"/>
  <c r="W27" i="8"/>
  <c r="W26" i="8"/>
  <c r="W25" i="8"/>
  <c r="W24" i="8"/>
  <c r="W23" i="8"/>
  <c r="W22" i="8"/>
  <c r="W21" i="8"/>
  <c r="W20" i="8"/>
  <c r="W19" i="8"/>
  <c r="W18" i="8"/>
  <c r="W17" i="8"/>
  <c r="W16" i="8"/>
  <c r="W12" i="8"/>
  <c r="W11" i="8"/>
  <c r="W10" i="8"/>
  <c r="W9" i="8"/>
  <c r="W8" i="8"/>
  <c r="W7" i="8"/>
  <c r="W6" i="8"/>
  <c r="W4" i="8"/>
  <c r="W3" i="8"/>
  <c r="W2" i="8"/>
  <c r="W15" i="7"/>
  <c r="W14" i="7"/>
  <c r="W13" i="7"/>
  <c r="W40" i="7"/>
  <c r="W39" i="7"/>
  <c r="W38" i="7"/>
  <c r="W37" i="7"/>
  <c r="W36" i="7"/>
  <c r="W35" i="7"/>
  <c r="W34" i="7"/>
  <c r="W33" i="7"/>
  <c r="W32" i="7"/>
  <c r="W31" i="7"/>
  <c r="W30" i="7"/>
  <c r="W29" i="7"/>
  <c r="W28" i="7"/>
  <c r="W27" i="7"/>
  <c r="W26" i="7"/>
  <c r="W25" i="7"/>
  <c r="W24" i="7"/>
  <c r="W23" i="7"/>
  <c r="W22" i="7"/>
  <c r="W21" i="7"/>
  <c r="W20" i="7"/>
  <c r="W19" i="7"/>
  <c r="W18" i="7"/>
  <c r="W17" i="7"/>
  <c r="W16" i="7"/>
  <c r="W12" i="7"/>
  <c r="W11" i="7"/>
  <c r="W10" i="7"/>
  <c r="W9" i="7"/>
  <c r="W8" i="7"/>
  <c r="W7" i="7"/>
  <c r="W6" i="7"/>
  <c r="W4" i="7"/>
  <c r="W3" i="7"/>
  <c r="W2" i="7"/>
  <c r="W40" i="6"/>
  <c r="W39" i="6"/>
  <c r="W38" i="6"/>
  <c r="W37" i="6"/>
  <c r="W36" i="6"/>
  <c r="W35" i="6"/>
  <c r="W34" i="6"/>
  <c r="W33" i="6"/>
  <c r="W32" i="6"/>
  <c r="W30" i="6"/>
  <c r="W31" i="6"/>
  <c r="W29" i="6"/>
  <c r="W28" i="6"/>
  <c r="W27" i="6"/>
  <c r="W26" i="6"/>
  <c r="W25" i="6"/>
  <c r="W24" i="6"/>
  <c r="W23" i="6"/>
  <c r="W22" i="6"/>
  <c r="W21" i="6"/>
  <c r="W20" i="6"/>
  <c r="W19" i="6"/>
  <c r="W18" i="6"/>
  <c r="W17" i="6"/>
  <c r="W16" i="6"/>
  <c r="W15" i="6"/>
  <c r="W14" i="6"/>
  <c r="W13" i="6"/>
  <c r="W12" i="6"/>
  <c r="W10" i="6"/>
  <c r="W8" i="6"/>
  <c r="W7" i="6"/>
  <c r="W6" i="6"/>
  <c r="W4" i="6"/>
  <c r="W3" i="6"/>
  <c r="W2" i="6"/>
  <c r="W9" i="6"/>
  <c r="W15" i="5"/>
  <c r="W14" i="5"/>
  <c r="W13" i="5"/>
  <c r="W40" i="5"/>
  <c r="W39" i="5"/>
  <c r="W38" i="5"/>
  <c r="W37" i="5"/>
  <c r="W36" i="5"/>
  <c r="W35" i="5"/>
  <c r="W34" i="5"/>
  <c r="W33" i="5"/>
  <c r="W32" i="5"/>
  <c r="W31" i="5"/>
  <c r="W30" i="5"/>
  <c r="W29" i="5"/>
  <c r="W28" i="5"/>
  <c r="W27" i="5"/>
  <c r="W26" i="5"/>
  <c r="W25" i="5"/>
  <c r="W24" i="5"/>
  <c r="W23" i="5"/>
  <c r="W22" i="5"/>
  <c r="W21" i="5"/>
  <c r="W20" i="5"/>
  <c r="W19" i="5"/>
  <c r="W18" i="5"/>
  <c r="W17" i="5"/>
  <c r="W16" i="5"/>
  <c r="W12" i="5"/>
  <c r="W11" i="5"/>
  <c r="W10" i="5"/>
  <c r="W9" i="5"/>
  <c r="W8" i="5"/>
  <c r="W7" i="5"/>
  <c r="W6" i="5"/>
  <c r="W4" i="5"/>
  <c r="W3" i="5"/>
  <c r="W2" i="5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W7" i="4"/>
  <c r="W6" i="4"/>
  <c r="W4" i="4"/>
  <c r="W3" i="4"/>
  <c r="W2" i="4"/>
  <c r="W15" i="3"/>
  <c r="W14" i="3"/>
  <c r="W13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2" i="3"/>
  <c r="W11" i="3"/>
  <c r="W10" i="3"/>
  <c r="W9" i="3"/>
  <c r="W8" i="3"/>
  <c r="W7" i="3"/>
  <c r="W6" i="3"/>
  <c r="W4" i="3"/>
  <c r="W3" i="3"/>
  <c r="W2" i="3"/>
  <c r="W12" i="1"/>
  <c r="W4" i="1"/>
  <c r="W12" i="2"/>
  <c r="W4" i="2"/>
  <c r="W19" i="2"/>
  <c r="W14" i="2"/>
  <c r="W15" i="2"/>
  <c r="W13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8" i="2"/>
  <c r="W17" i="2"/>
  <c r="W16" i="2"/>
  <c r="W11" i="2"/>
  <c r="W10" i="2"/>
  <c r="W9" i="2"/>
  <c r="W8" i="2"/>
  <c r="W7" i="2"/>
  <c r="W6" i="2"/>
  <c r="W3" i="2"/>
  <c r="W2" i="2"/>
  <c r="W5" i="2" s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1" i="1"/>
  <c r="W10" i="1"/>
  <c r="W9" i="1"/>
  <c r="W8" i="1"/>
  <c r="W7" i="1"/>
  <c r="W6" i="1"/>
  <c r="W3" i="1"/>
  <c r="W2" i="1"/>
  <c r="W5" i="1" s="1"/>
  <c r="C16" i="19" l="1"/>
  <c r="I16" i="19" s="1"/>
  <c r="C18" i="19"/>
  <c r="C20" i="19"/>
  <c r="M21" i="19" s="1"/>
  <c r="C23" i="19"/>
  <c r="C25" i="19"/>
  <c r="I26" i="19" s="1"/>
  <c r="C27" i="19"/>
  <c r="C29" i="19"/>
  <c r="M29" i="19" s="1"/>
  <c r="C31" i="19"/>
  <c r="C33" i="19"/>
  <c r="M32" i="19" s="1"/>
  <c r="C35" i="19"/>
  <c r="C37" i="19"/>
  <c r="I18" i="19"/>
  <c r="I28" i="19"/>
  <c r="I35" i="19"/>
  <c r="I37" i="19"/>
  <c r="M14" i="19"/>
  <c r="M24" i="19"/>
  <c r="M22" i="19"/>
  <c r="AD28" i="19"/>
  <c r="AK28" i="19"/>
  <c r="AN29" i="19"/>
  <c r="I15" i="19"/>
  <c r="C15" i="19"/>
  <c r="C17" i="19"/>
  <c r="M18" i="19" s="1"/>
  <c r="C19" i="19"/>
  <c r="C21" i="19"/>
  <c r="C24" i="19"/>
  <c r="C26" i="19"/>
  <c r="Q26" i="19" s="1"/>
  <c r="C28" i="19"/>
  <c r="AA29" i="19" s="1"/>
  <c r="C30" i="19"/>
  <c r="Q29" i="19" s="1"/>
  <c r="C32" i="19"/>
  <c r="C34" i="19"/>
  <c r="C36" i="19"/>
  <c r="I13" i="19"/>
  <c r="I32" i="19"/>
  <c r="I34" i="19"/>
  <c r="M13" i="19"/>
  <c r="I19" i="19"/>
  <c r="I24" i="19"/>
  <c r="I20" i="19"/>
  <c r="AA28" i="19"/>
  <c r="AA30" i="19"/>
  <c r="AD29" i="19"/>
  <c r="AG28" i="19"/>
  <c r="AK29" i="19"/>
  <c r="AN30" i="19"/>
  <c r="C22" i="19"/>
  <c r="C2" i="19"/>
  <c r="C4" i="19"/>
  <c r="C7" i="19"/>
  <c r="C9" i="19"/>
  <c r="W5" i="13"/>
  <c r="W5" i="14"/>
  <c r="W5" i="16"/>
  <c r="H25" i="19"/>
  <c r="C10" i="19"/>
  <c r="P36" i="19"/>
  <c r="M16" i="19"/>
  <c r="M27" i="19"/>
  <c r="M35" i="19"/>
  <c r="M33" i="19"/>
  <c r="Q30" i="19"/>
  <c r="Q22" i="19"/>
  <c r="Q18" i="19"/>
  <c r="T35" i="19"/>
  <c r="T33" i="19"/>
  <c r="T26" i="19"/>
  <c r="T24" i="19"/>
  <c r="T16" i="19"/>
  <c r="W19" i="19"/>
  <c r="U28" i="19"/>
  <c r="U30" i="19"/>
  <c r="M19" i="19"/>
  <c r="M37" i="19"/>
  <c r="Q33" i="19"/>
  <c r="Q28" i="19"/>
  <c r="T14" i="19"/>
  <c r="M15" i="19"/>
  <c r="I23" i="19"/>
  <c r="I33" i="19"/>
  <c r="M17" i="19"/>
  <c r="I21" i="19"/>
  <c r="M20" i="19"/>
  <c r="T22" i="19"/>
  <c r="I27" i="19"/>
  <c r="W35" i="19"/>
  <c r="M26" i="19"/>
  <c r="M28" i="19"/>
  <c r="M36" i="19"/>
  <c r="M34" i="19"/>
  <c r="Q37" i="19"/>
  <c r="Q34" i="19"/>
  <c r="Q32" i="19"/>
  <c r="Q27" i="19"/>
  <c r="Q23" i="19"/>
  <c r="Q19" i="19"/>
  <c r="Q15" i="19"/>
  <c r="T36" i="19"/>
  <c r="T34" i="19"/>
  <c r="T32" i="19"/>
  <c r="T25" i="19"/>
  <c r="T23" i="19"/>
  <c r="T21" i="19"/>
  <c r="T17" i="19"/>
  <c r="W13" i="19"/>
  <c r="W32" i="19"/>
  <c r="W22" i="19"/>
  <c r="I29" i="19"/>
  <c r="U29" i="19"/>
  <c r="I17" i="19"/>
  <c r="I36" i="19"/>
  <c r="M23" i="19"/>
  <c r="Q24" i="19"/>
  <c r="Q35" i="19"/>
  <c r="Q36" i="19"/>
  <c r="T37" i="19"/>
  <c r="H30" i="19"/>
  <c r="I30" i="19" s="1"/>
  <c r="H22" i="19"/>
  <c r="I22" i="19" s="1"/>
  <c r="C3" i="19"/>
  <c r="C6" i="19"/>
  <c r="C8" i="19"/>
  <c r="C12" i="19"/>
  <c r="C11" i="19"/>
  <c r="W5" i="18"/>
  <c r="W5" i="17"/>
  <c r="W5" i="15"/>
  <c r="W5" i="11"/>
  <c r="W5" i="9"/>
  <c r="W5" i="8"/>
  <c r="W5" i="7"/>
  <c r="W5" i="6"/>
  <c r="W5" i="5"/>
  <c r="W5" i="4"/>
  <c r="W5" i="3"/>
  <c r="T18" i="19" l="1"/>
  <c r="W16" i="19"/>
  <c r="T15" i="19"/>
  <c r="T19" i="19"/>
  <c r="T27" i="19"/>
  <c r="T13" i="19"/>
  <c r="Q17" i="19"/>
  <c r="Q21" i="19"/>
  <c r="Q25" i="19"/>
  <c r="M30" i="19"/>
  <c r="Q16" i="19"/>
  <c r="I14" i="19"/>
  <c r="T20" i="19"/>
  <c r="M25" i="19"/>
  <c r="W25" i="19"/>
  <c r="Q14" i="19"/>
  <c r="Q20" i="19"/>
  <c r="Q13" i="19"/>
  <c r="I25" i="19"/>
  <c r="AN28" i="19"/>
  <c r="AQ28" i="19"/>
  <c r="AK30" i="19"/>
  <c r="AD30" i="19"/>
  <c r="C5" i="19"/>
  <c r="E4" i="19" s="1"/>
  <c r="E28" i="19" l="1"/>
  <c r="E35" i="19"/>
  <c r="E15" i="19"/>
  <c r="E33" i="19"/>
  <c r="E7" i="19"/>
  <c r="E30" i="19"/>
  <c r="E23" i="19"/>
  <c r="E18" i="19"/>
  <c r="E6" i="19"/>
  <c r="E2" i="19"/>
  <c r="E21" i="19"/>
  <c r="E13" i="19"/>
  <c r="E16" i="19"/>
  <c r="E27" i="19"/>
  <c r="E24" i="19"/>
  <c r="E36" i="19"/>
  <c r="E29" i="19"/>
  <c r="E19" i="19"/>
  <c r="E32" i="19"/>
  <c r="E14" i="19"/>
  <c r="E22" i="19"/>
  <c r="E26" i="19"/>
  <c r="E10" i="19"/>
  <c r="E11" i="19"/>
  <c r="E3" i="19"/>
  <c r="E31" i="19"/>
  <c r="E17" i="19"/>
  <c r="E34" i="19"/>
  <c r="E37" i="19"/>
  <c r="E20" i="19"/>
  <c r="E25" i="19"/>
  <c r="E12" i="19"/>
  <c r="E8" i="19"/>
  <c r="E9" i="19"/>
</calcChain>
</file>

<file path=xl/comments1.xml><?xml version="1.0" encoding="utf-8"?>
<comments xmlns="http://schemas.openxmlformats.org/spreadsheetml/2006/main">
  <authors>
    <author>joel.miranda</author>
  </authors>
  <commentList>
    <comment ref="L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1. ¿Sabe usted qué es el derecho humano de Acceso a la Información Pública?</t>
        </r>
      </text>
    </comment>
    <comment ref="M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2. ¿Conoce que existe una ley que garantiza el derecho humano de acceso a la información pública?</t>
        </r>
      </text>
    </comment>
    <comment ref="N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3. ¿Alguna vez ha ejercido (usado) el derecho humano de acceso a la información pública?</t>
        </r>
      </text>
    </comment>
    <comment ref="O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4. ¿Ha consultado alguna vez información pública en un portal de transparencia?</t>
        </r>
      </text>
    </comment>
    <comment ref="P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5. ¿Alguna vez ha solicitado por escrito o por medios electrónicos información a una institución pública?</t>
        </r>
      </text>
    </comment>
    <comment ref="Q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6. ¿En su opinión, qué tanta utilidad cree que tiene la transparencia y el acceso a la información pública?</t>
        </r>
      </text>
    </comment>
    <comment ref="R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7. ¿Sabe usted dónde y cómo presentar una queja en caso de que su derecho humano de acceso a la información pública es o fuera violado?</t>
        </r>
      </text>
    </comment>
    <comment ref="S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8. ¿Sabe usted si en el municipio donde reside existe el Comisionado Municipal y cuál es su función?</t>
        </r>
      </text>
    </comment>
  </commentList>
</comments>
</file>

<file path=xl/comments10.xml><?xml version="1.0" encoding="utf-8"?>
<comments xmlns="http://schemas.openxmlformats.org/spreadsheetml/2006/main">
  <authors>
    <author>joel.miranda</author>
  </authors>
  <commentList>
    <comment ref="L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1. ¿Sabe usted qué es el derecho humano de Acceso a la Información Pública?</t>
        </r>
      </text>
    </comment>
    <comment ref="M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2. ¿Conoce que existe una ley que garantiza el derecho humano de acceso a la información pública?</t>
        </r>
      </text>
    </comment>
    <comment ref="N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3. ¿Alguna vez ha ejercido (usado) el derecho humano de acceso a la información pública?</t>
        </r>
      </text>
    </comment>
    <comment ref="O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4. ¿Ha consultado alguna vez información pública en un portal de transparencia?</t>
        </r>
      </text>
    </comment>
    <comment ref="P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5. ¿Alguna vez ha solicitado por escrito o por medios electrónicos información a una institución pública?</t>
        </r>
      </text>
    </comment>
    <comment ref="Q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6. ¿En su opinión, qué tanta utilidad cree que tiene la transparencia y el acceso a la información pública?</t>
        </r>
      </text>
    </comment>
    <comment ref="R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7. ¿Sabe usted dónde y cómo presentar una queja en caso de que su derecho humano de acceso a la información pública es o fuera violado?</t>
        </r>
      </text>
    </comment>
    <comment ref="S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8. ¿Sabe usted si en el municipio donde reside existe el Comisionado Municipal y cuál es su función?</t>
        </r>
      </text>
    </comment>
  </commentList>
</comments>
</file>

<file path=xl/comments11.xml><?xml version="1.0" encoding="utf-8"?>
<comments xmlns="http://schemas.openxmlformats.org/spreadsheetml/2006/main">
  <authors>
    <author>joel.miranda</author>
  </authors>
  <commentList>
    <comment ref="L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1. ¿Sabe usted qué es el derecho humano de Acceso a la Información Pública?</t>
        </r>
      </text>
    </comment>
    <comment ref="M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2. ¿Conoce que existe una ley que garantiza el derecho humano de acceso a la información pública?</t>
        </r>
      </text>
    </comment>
    <comment ref="N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3. ¿Alguna vez ha ejercido (usado) el derecho humano de acceso a la información pública?</t>
        </r>
      </text>
    </comment>
    <comment ref="O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4. ¿Ha consultado alguna vez información pública en un portal de transparencia?</t>
        </r>
      </text>
    </comment>
    <comment ref="P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5. ¿Alguna vez ha solicitado por escrito o por medios electrónicos información a una institución pública?</t>
        </r>
      </text>
    </comment>
    <comment ref="Q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6. ¿En su opinión, qué tanta utilidad cree que tiene la transparencia y el acceso a la información pública?</t>
        </r>
      </text>
    </comment>
    <comment ref="R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7. ¿Sabe usted dónde y cómo presentar una queja en caso de que su derecho humano de acceso a la información pública es o fuera violado?</t>
        </r>
      </text>
    </comment>
    <comment ref="S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8. ¿Sabe usted si en el municipio donde reside existe el Comisionado Municipal y cuál es su función?</t>
        </r>
      </text>
    </comment>
  </commentList>
</comments>
</file>

<file path=xl/comments12.xml><?xml version="1.0" encoding="utf-8"?>
<comments xmlns="http://schemas.openxmlformats.org/spreadsheetml/2006/main">
  <authors>
    <author>joel.miranda</author>
  </authors>
  <commentList>
    <comment ref="L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1. ¿Sabe usted qué es el derecho humano de Acceso a la Información Pública?</t>
        </r>
      </text>
    </comment>
    <comment ref="M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2. ¿Conoce que existe una ley que garantiza el derecho humano de acceso a la información pública?</t>
        </r>
      </text>
    </comment>
    <comment ref="N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3. ¿Alguna vez ha ejercido (usado) el derecho humano de acceso a la información pública?</t>
        </r>
      </text>
    </comment>
    <comment ref="O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4. ¿Ha consultado alguna vez información pública en un portal de transparencia?</t>
        </r>
      </text>
    </comment>
    <comment ref="P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5. ¿Alguna vez ha solicitado por escrito o por medios electrónicos información a una institución pública?</t>
        </r>
      </text>
    </comment>
    <comment ref="Q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6. ¿En su opinión, qué tanta utilidad cree que tiene la transparencia y el acceso a la información pública?</t>
        </r>
      </text>
    </comment>
    <comment ref="R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7. ¿Sabe usted dónde y cómo presentar una queja en caso de que su derecho humano de acceso a la información pública es o fuera violado?</t>
        </r>
      </text>
    </comment>
    <comment ref="S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8. ¿Sabe usted si en el municipio donde reside existe el Comisionado Municipal y cuál es su función?</t>
        </r>
      </text>
    </comment>
  </commentList>
</comments>
</file>

<file path=xl/comments13.xml><?xml version="1.0" encoding="utf-8"?>
<comments xmlns="http://schemas.openxmlformats.org/spreadsheetml/2006/main">
  <authors>
    <author>joel.miranda</author>
  </authors>
  <commentList>
    <comment ref="L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1. ¿Sabe usted qué es el derecho humano de Acceso a la Información Pública?</t>
        </r>
      </text>
    </comment>
    <comment ref="M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2. ¿Conoce que existe una ley que garantiza el derecho humano de acceso a la información pública?</t>
        </r>
      </text>
    </comment>
    <comment ref="N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3. ¿Alguna vez ha ejercido (usado) el derecho humano de acceso a la información pública?</t>
        </r>
      </text>
    </comment>
    <comment ref="O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4. ¿Ha consultado alguna vez información pública en un portal de transparencia?</t>
        </r>
      </text>
    </comment>
    <comment ref="P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5. ¿Alguna vez ha solicitado por escrito o por medios electrónicos información a una institución pública?</t>
        </r>
      </text>
    </comment>
    <comment ref="Q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6. ¿En su opinión, qué tanta utilidad cree que tiene la transparencia y el acceso a la información pública?</t>
        </r>
      </text>
    </comment>
    <comment ref="R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7. ¿Sabe usted dónde y cómo presentar una queja en caso de que su derecho humano de acceso a la información pública es o fuera violado?</t>
        </r>
      </text>
    </comment>
    <comment ref="S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8. ¿Sabe usted si en el municipio donde reside existe el Comisionado Municipal y cuál es su función?</t>
        </r>
      </text>
    </comment>
  </commentList>
</comments>
</file>

<file path=xl/comments14.xml><?xml version="1.0" encoding="utf-8"?>
<comments xmlns="http://schemas.openxmlformats.org/spreadsheetml/2006/main">
  <authors>
    <author>joel.miranda</author>
  </authors>
  <commentList>
    <comment ref="L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1. ¿Sabe usted qué es el derecho humano de Acceso a la Información Pública?</t>
        </r>
      </text>
    </comment>
    <comment ref="M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2. ¿Conoce que existe una ley que garantiza el derecho humano de acceso a la información pública?</t>
        </r>
      </text>
    </comment>
    <comment ref="N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3. ¿Alguna vez ha ejercido (usado) el derecho humano de acceso a la información pública?</t>
        </r>
      </text>
    </comment>
    <comment ref="O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4. ¿Ha consultado alguna vez información pública en un portal de transparencia?</t>
        </r>
      </text>
    </comment>
    <comment ref="P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5. ¿Alguna vez ha solicitado por escrito o por medios electrónicos información a una institución pública?</t>
        </r>
      </text>
    </comment>
    <comment ref="Q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6. ¿En su opinión, qué tanta utilidad cree que tiene la transparencia y el acceso a la información pública?</t>
        </r>
      </text>
    </comment>
    <comment ref="R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7. ¿Sabe usted dónde y cómo presentar una queja en caso de que su derecho humano de acceso a la información pública es o fuera violado?</t>
        </r>
      </text>
    </comment>
    <comment ref="S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8. ¿Sabe usted si en el municipio donde reside existe el Comisionado Municipal y cuál es su función?</t>
        </r>
      </text>
    </comment>
  </commentList>
</comments>
</file>

<file path=xl/comments15.xml><?xml version="1.0" encoding="utf-8"?>
<comments xmlns="http://schemas.openxmlformats.org/spreadsheetml/2006/main">
  <authors>
    <author>joel.miranda</author>
  </authors>
  <commentList>
    <comment ref="L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1. ¿Sabe usted qué es el derecho humano de Acceso a la Información Pública?</t>
        </r>
      </text>
    </comment>
    <comment ref="M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2. ¿Conoce que existe una ley que garantiza el derecho humano de acceso a la información pública?</t>
        </r>
      </text>
    </comment>
    <comment ref="N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3. ¿Alguna vez ha ejercido (usado) el derecho humano de acceso a la información pública?</t>
        </r>
      </text>
    </comment>
    <comment ref="O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4. ¿Ha consultado alguna vez información pública en un portal de transparencia?</t>
        </r>
      </text>
    </comment>
    <comment ref="P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5. ¿Alguna vez ha solicitado por escrito o por medios electrónicos información a una institución pública?</t>
        </r>
      </text>
    </comment>
    <comment ref="Q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6. ¿En su opinión, qué tanta utilidad cree que tiene la transparencia y el acceso a la información pública?</t>
        </r>
      </text>
    </comment>
    <comment ref="R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7. ¿Sabe usted dónde y cómo presentar una queja en caso de que su derecho humano de acceso a la información pública es o fuera violado?</t>
        </r>
      </text>
    </comment>
    <comment ref="S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8. ¿Sabe usted si en el municipio donde reside existe el Comisionado Municipal y cuál es su función?</t>
        </r>
      </text>
    </comment>
  </commentList>
</comments>
</file>

<file path=xl/comments16.xml><?xml version="1.0" encoding="utf-8"?>
<comments xmlns="http://schemas.openxmlformats.org/spreadsheetml/2006/main">
  <authors>
    <author>joel.miranda</author>
  </authors>
  <commentList>
    <comment ref="L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1. ¿Sabe usted qué es el derecho humano de Acceso a la Información Pública?</t>
        </r>
      </text>
    </comment>
    <comment ref="M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2. ¿Conoce que existe una ley que garantiza el derecho humano de acceso a la información pública?</t>
        </r>
      </text>
    </comment>
    <comment ref="N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3. ¿Alguna vez ha ejercido (usado) el derecho humano de acceso a la información pública?</t>
        </r>
      </text>
    </comment>
    <comment ref="O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4. ¿Ha consultado alguna vez información pública en un portal de transparencia?</t>
        </r>
      </text>
    </comment>
    <comment ref="P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5. ¿Alguna vez ha solicitado por escrito o por medios electrónicos información a una institución pública?</t>
        </r>
      </text>
    </comment>
    <comment ref="Q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6. ¿En su opinión, qué tanta utilidad cree que tiene la transparencia y el acceso a la información pública?</t>
        </r>
      </text>
    </comment>
    <comment ref="R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7. ¿Sabe usted dónde y cómo presentar una queja en caso de que su derecho humano de acceso a la información pública es o fuera violado?</t>
        </r>
      </text>
    </comment>
    <comment ref="S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8. ¿Sabe usted si en el municipio donde reside existe el Comisionado Municipal y cuál es su función?</t>
        </r>
      </text>
    </comment>
  </commentList>
</comments>
</file>

<file path=xl/comments17.xml><?xml version="1.0" encoding="utf-8"?>
<comments xmlns="http://schemas.openxmlformats.org/spreadsheetml/2006/main">
  <authors>
    <author>joel.miranda</author>
  </authors>
  <commentList>
    <comment ref="L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1. ¿Sabe usted qué es el derecho humano de Acceso a la Información Pública?</t>
        </r>
      </text>
    </comment>
    <comment ref="M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2. ¿Conoce que existe una ley que garantiza el derecho humano de acceso a la información pública?</t>
        </r>
      </text>
    </comment>
    <comment ref="N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3. ¿Alguna vez ha ejercido (usado) el derecho humano de acceso a la información pública?</t>
        </r>
      </text>
    </comment>
    <comment ref="O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4. ¿Ha consultado alguna vez información pública en un portal de transparencia?</t>
        </r>
      </text>
    </comment>
    <comment ref="P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5. ¿Alguna vez ha solicitado por escrito o por medios electrónicos información a una institución pública?</t>
        </r>
      </text>
    </comment>
    <comment ref="Q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6. ¿En su opinión, qué tanta utilidad cree que tiene la transparencia y el acceso a la información pública?</t>
        </r>
      </text>
    </comment>
    <comment ref="R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7. ¿Sabe usted dónde y cómo presentar una queja en caso de que su derecho humano de acceso a la información pública es o fuera violado?</t>
        </r>
      </text>
    </comment>
    <comment ref="S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8. ¿Sabe usted si en el municipio donde reside existe el Comisionado Municipal y cuál es su función?</t>
        </r>
      </text>
    </comment>
  </commentList>
</comments>
</file>

<file path=xl/comments18.xml><?xml version="1.0" encoding="utf-8"?>
<comments xmlns="http://schemas.openxmlformats.org/spreadsheetml/2006/main">
  <authors>
    <author>joel.miranda</author>
  </authors>
  <commentList>
    <comment ref="L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1. ¿Sabe usted qué es el derecho humano de Acceso a la Información Pública?</t>
        </r>
      </text>
    </comment>
    <comment ref="M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2. ¿Conoce que existe una ley que garantiza el derecho humano de acceso a la información pública?</t>
        </r>
      </text>
    </comment>
    <comment ref="N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3. ¿Alguna vez ha ejercido (usado) el derecho humano de acceso a la información pública?</t>
        </r>
      </text>
    </comment>
    <comment ref="O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4. ¿Ha consultado alguna vez información pública en un portal de transparencia?</t>
        </r>
      </text>
    </comment>
    <comment ref="P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5. ¿Alguna vez ha solicitado por escrito o por medios electrónicos información a una institución pública?</t>
        </r>
      </text>
    </comment>
    <comment ref="Q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6. ¿En su opinión, qué tanta utilidad cree que tiene la transparencia y el acceso a la información pública?</t>
        </r>
      </text>
    </comment>
    <comment ref="R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7. ¿Sabe usted dónde y cómo presentar una queja en caso de que su derecho humano de acceso a la información pública es o fuera violado?</t>
        </r>
      </text>
    </comment>
    <comment ref="S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8. ¿Sabe usted si en el municipio donde reside existe el Comisionado Municipal y cuál es su función?</t>
        </r>
      </text>
    </comment>
  </commentList>
</comments>
</file>

<file path=xl/comments2.xml><?xml version="1.0" encoding="utf-8"?>
<comments xmlns="http://schemas.openxmlformats.org/spreadsheetml/2006/main">
  <authors>
    <author>joel.miranda</author>
  </authors>
  <commentList>
    <comment ref="L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1. ¿Sabe usted qué es el derecho humano de Acceso a la Información Pública?</t>
        </r>
      </text>
    </comment>
    <comment ref="M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2. ¿Conoce que existe una ley que garantiza el derecho humano de acceso a la información pública?</t>
        </r>
      </text>
    </comment>
    <comment ref="N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3. ¿Alguna vez ha ejercido (usado) el derecho humano de acceso a la información pública?</t>
        </r>
      </text>
    </comment>
    <comment ref="O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4. ¿Ha consultado alguna vez información pública en un portal de transparencia?</t>
        </r>
      </text>
    </comment>
    <comment ref="P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5. ¿Alguna vez ha solicitado por escrito o por medios electrónicos información a una institución pública?</t>
        </r>
      </text>
    </comment>
    <comment ref="Q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6. ¿En su opinión, qué tanta utilidad cree que tiene la transparencia y el acceso a la información pública?</t>
        </r>
      </text>
    </comment>
    <comment ref="R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7. ¿Sabe usted dónde y cómo presentar una queja en caso de que su derecho humano de acceso a la información pública es o fuera violado?</t>
        </r>
      </text>
    </comment>
    <comment ref="S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8. ¿Sabe usted si en el municipio donde reside existe el Comisionado Municipal y cuál es su función?</t>
        </r>
      </text>
    </comment>
  </commentList>
</comments>
</file>

<file path=xl/comments3.xml><?xml version="1.0" encoding="utf-8"?>
<comments xmlns="http://schemas.openxmlformats.org/spreadsheetml/2006/main">
  <authors>
    <author>joel.miranda</author>
  </authors>
  <commentList>
    <comment ref="L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1. ¿Sabe usted qué es el derecho humano de Acceso a la Información Pública?</t>
        </r>
      </text>
    </comment>
    <comment ref="M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2. ¿Conoce que existe una ley que garantiza el derecho humano de acceso a la información pública?</t>
        </r>
      </text>
    </comment>
    <comment ref="N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3. ¿Alguna vez ha ejercido (usado) el derecho humano de acceso a la información pública?</t>
        </r>
      </text>
    </comment>
    <comment ref="O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4. ¿Ha consultado alguna vez información pública en un portal de transparencia?</t>
        </r>
      </text>
    </comment>
    <comment ref="P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5. ¿Alguna vez ha solicitado por escrito o por medios electrónicos información a una institución pública?</t>
        </r>
      </text>
    </comment>
    <comment ref="Q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6. ¿En su opinión, qué tanta utilidad cree que tiene la transparencia y el acceso a la información pública?</t>
        </r>
      </text>
    </comment>
    <comment ref="R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7. ¿Sabe usted dónde y cómo presentar una queja en caso de que su derecho humano de acceso a la información pública es o fuera violado?</t>
        </r>
      </text>
    </comment>
    <comment ref="S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8. ¿Sabe usted si en el municipio donde reside existe el Comisionado Municipal y cuál es su función?</t>
        </r>
      </text>
    </comment>
  </commentList>
</comments>
</file>

<file path=xl/comments4.xml><?xml version="1.0" encoding="utf-8"?>
<comments xmlns="http://schemas.openxmlformats.org/spreadsheetml/2006/main">
  <authors>
    <author>joel.miranda</author>
  </authors>
  <commentList>
    <comment ref="L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1. ¿Sabe usted qué es el derecho humano de Acceso a la Información Pública?</t>
        </r>
      </text>
    </comment>
    <comment ref="M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2. ¿Conoce que existe una ley que garantiza el derecho humano de acceso a la información pública?</t>
        </r>
      </text>
    </comment>
    <comment ref="N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3. ¿Alguna vez ha ejercido (usado) el derecho humano de acceso a la información pública?</t>
        </r>
      </text>
    </comment>
    <comment ref="O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4. ¿Ha consultado alguna vez información pública en un portal de transparencia?</t>
        </r>
      </text>
    </comment>
    <comment ref="P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5. ¿Alguna vez ha solicitado por escrito o por medios electrónicos información a una institución pública?</t>
        </r>
      </text>
    </comment>
    <comment ref="Q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6. ¿En su opinión, qué tanta utilidad cree que tiene la transparencia y el acceso a la información pública?</t>
        </r>
      </text>
    </comment>
    <comment ref="R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7. ¿Sabe usted dónde y cómo presentar una queja en caso de que su derecho humano de acceso a la información pública es o fuera violado?</t>
        </r>
      </text>
    </comment>
    <comment ref="S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8. ¿Sabe usted si en el municipio donde reside existe el Comisionado Municipal y cuál es su función?</t>
        </r>
      </text>
    </comment>
  </commentList>
</comments>
</file>

<file path=xl/comments5.xml><?xml version="1.0" encoding="utf-8"?>
<comments xmlns="http://schemas.openxmlformats.org/spreadsheetml/2006/main">
  <authors>
    <author>joel.miranda</author>
  </authors>
  <commentList>
    <comment ref="L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1. ¿Sabe usted qué es el derecho humano de Acceso a la Información Pública?</t>
        </r>
      </text>
    </comment>
    <comment ref="M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2. ¿Conoce que existe una ley que garantiza el derecho humano de acceso a la información pública?</t>
        </r>
      </text>
    </comment>
    <comment ref="N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3. ¿Alguna vez ha ejercido (usado) el derecho humano de acceso a la información pública?</t>
        </r>
      </text>
    </comment>
    <comment ref="O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4. ¿Ha consultado alguna vez información pública en un portal de transparencia?</t>
        </r>
      </text>
    </comment>
    <comment ref="P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5. ¿Alguna vez ha solicitado por escrito o por medios electrónicos información a una institución pública?</t>
        </r>
      </text>
    </comment>
    <comment ref="Q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6. ¿En su opinión, qué tanta utilidad cree que tiene la transparencia y el acceso a la información pública?</t>
        </r>
      </text>
    </comment>
    <comment ref="R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7. ¿Sabe usted dónde y cómo presentar una queja en caso de que su derecho humano de acceso a la información pública es o fuera violado?</t>
        </r>
      </text>
    </comment>
    <comment ref="S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8. ¿Sabe usted si en el municipio donde reside existe el Comisionado Municipal y cuál es su función?</t>
        </r>
      </text>
    </comment>
  </commentList>
</comments>
</file>

<file path=xl/comments6.xml><?xml version="1.0" encoding="utf-8"?>
<comments xmlns="http://schemas.openxmlformats.org/spreadsheetml/2006/main">
  <authors>
    <author>joel.miranda</author>
  </authors>
  <commentList>
    <comment ref="L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1. ¿Sabe usted qué es el derecho humano de Acceso a la Información Pública?</t>
        </r>
      </text>
    </comment>
    <comment ref="M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2. ¿Conoce que existe una ley que garantiza el derecho humano de acceso a la información pública?</t>
        </r>
      </text>
    </comment>
    <comment ref="N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3. ¿Alguna vez ha ejercido (usado) el derecho humano de acceso a la información pública?</t>
        </r>
      </text>
    </comment>
    <comment ref="O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4. ¿Ha consultado alguna vez información pública en un portal de transparencia?</t>
        </r>
      </text>
    </comment>
    <comment ref="P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5. ¿Alguna vez ha solicitado por escrito o por medios electrónicos información a una institución pública?</t>
        </r>
      </text>
    </comment>
    <comment ref="Q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6. ¿En su opinión, qué tanta utilidad cree que tiene la transparencia y el acceso a la información pública?</t>
        </r>
      </text>
    </comment>
    <comment ref="R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7. ¿Sabe usted dónde y cómo presentar una queja en caso de que su derecho humano de acceso a la información pública es o fuera violado?</t>
        </r>
      </text>
    </comment>
    <comment ref="S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8. ¿Sabe usted si en el municipio donde reside existe el Comisionado Municipal y cuál es su función?</t>
        </r>
      </text>
    </comment>
  </commentList>
</comments>
</file>

<file path=xl/comments7.xml><?xml version="1.0" encoding="utf-8"?>
<comments xmlns="http://schemas.openxmlformats.org/spreadsheetml/2006/main">
  <authors>
    <author>joel.miranda</author>
  </authors>
  <commentList>
    <comment ref="L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1. ¿Sabe usted qué es el derecho humano de Acceso a la Información Pública?</t>
        </r>
      </text>
    </comment>
    <comment ref="M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2. ¿Conoce que existe una ley que garantiza el derecho humano de acceso a la información pública?</t>
        </r>
      </text>
    </comment>
    <comment ref="N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3. ¿Alguna vez ha ejercido (usado) el derecho humano de acceso a la información pública?</t>
        </r>
      </text>
    </comment>
    <comment ref="O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4. ¿Ha consultado alguna vez información pública en un portal de transparencia?</t>
        </r>
      </text>
    </comment>
    <comment ref="P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5. ¿Alguna vez ha solicitado por escrito o por medios electrónicos información a una institución pública?</t>
        </r>
      </text>
    </comment>
    <comment ref="Q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6. ¿En su opinión, qué tanta utilidad cree que tiene la transparencia y el acceso a la información pública?</t>
        </r>
      </text>
    </comment>
    <comment ref="R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7. ¿Sabe usted dónde y cómo presentar una queja en caso de que su derecho humano de acceso a la información pública es o fuera violado?</t>
        </r>
      </text>
    </comment>
    <comment ref="S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8. ¿Sabe usted si en el municipio donde reside existe el Comisionado Municipal y cuál es su función?</t>
        </r>
      </text>
    </comment>
  </commentList>
</comments>
</file>

<file path=xl/comments8.xml><?xml version="1.0" encoding="utf-8"?>
<comments xmlns="http://schemas.openxmlformats.org/spreadsheetml/2006/main">
  <authors>
    <author>joel.miranda</author>
  </authors>
  <commentList>
    <comment ref="L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1. ¿Sabe usted qué es el derecho humano de Acceso a la Información Pública?</t>
        </r>
      </text>
    </comment>
    <comment ref="M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2. ¿Conoce que existe una ley que garantiza el derecho humano de acceso a la información pública?</t>
        </r>
      </text>
    </comment>
    <comment ref="N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3. ¿Alguna vez ha ejercido (usado) el derecho humano de acceso a la información pública?</t>
        </r>
      </text>
    </comment>
    <comment ref="O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4. ¿Ha consultado alguna vez información pública en un portal de transparencia?</t>
        </r>
      </text>
    </comment>
    <comment ref="P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5. ¿Alguna vez ha solicitado por escrito o por medios electrónicos información a una institución pública?</t>
        </r>
      </text>
    </comment>
    <comment ref="Q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6. ¿En su opinión, qué tanta utilidad cree que tiene la transparencia y el acceso a la información pública?</t>
        </r>
      </text>
    </comment>
    <comment ref="R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7. ¿Sabe usted dónde y cómo presentar una queja en caso de que su derecho humano de acceso a la información pública es o fuera violado?</t>
        </r>
      </text>
    </comment>
    <comment ref="S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8. ¿Sabe usted si en el municipio donde reside existe el Comisionado Municipal y cuál es su función?</t>
        </r>
      </text>
    </comment>
  </commentList>
</comments>
</file>

<file path=xl/comments9.xml><?xml version="1.0" encoding="utf-8"?>
<comments xmlns="http://schemas.openxmlformats.org/spreadsheetml/2006/main">
  <authors>
    <author>joel.miranda</author>
  </authors>
  <commentList>
    <comment ref="L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1. ¿Sabe usted qué es el derecho humano de Acceso a la Información Pública?</t>
        </r>
      </text>
    </comment>
    <comment ref="M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2. ¿Conoce que existe una ley que garantiza el derecho humano de acceso a la información pública?</t>
        </r>
      </text>
    </comment>
    <comment ref="N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3. ¿Alguna vez ha ejercido (usado) el derecho humano de acceso a la información pública?</t>
        </r>
      </text>
    </comment>
    <comment ref="O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4. ¿Ha consultado alguna vez información pública en un portal de transparencia?</t>
        </r>
      </text>
    </comment>
    <comment ref="P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5. ¿Alguna vez ha solicitado por escrito o por medios electrónicos información a una institución pública?</t>
        </r>
      </text>
    </comment>
    <comment ref="Q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6. ¿En su opinión, qué tanta utilidad cree que tiene la transparencia y el acceso a la información pública?</t>
        </r>
      </text>
    </comment>
    <comment ref="R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7. ¿Sabe usted dónde y cómo presentar una queja en caso de que su derecho humano de acceso a la información pública es o fuera violado?</t>
        </r>
      </text>
    </comment>
    <comment ref="S3" authorId="0" shapeId="0">
      <text>
        <r>
          <rPr>
            <b/>
            <sz val="9"/>
            <color indexed="81"/>
            <rFont val="Tahoma"/>
            <charset val="1"/>
          </rPr>
          <t>joel.miranda:</t>
        </r>
        <r>
          <rPr>
            <sz val="9"/>
            <color indexed="81"/>
            <rFont val="Tahoma"/>
            <charset val="1"/>
          </rPr>
          <t xml:space="preserve">
8. ¿Sabe usted si en el municipio donde reside existe el Comisionado Municipal y cuál es su función?</t>
        </r>
      </text>
    </comment>
  </commentList>
</comments>
</file>

<file path=xl/sharedStrings.xml><?xml version="1.0" encoding="utf-8"?>
<sst xmlns="http://schemas.openxmlformats.org/spreadsheetml/2006/main" count="11341" uniqueCount="124">
  <si>
    <t>Instituto de Acceso a la Información Pública</t>
  </si>
  <si>
    <t>Sexo:</t>
  </si>
  <si>
    <t>Fecha de la Encuesta:</t>
  </si>
  <si>
    <t>Edad</t>
  </si>
  <si>
    <t>18 - 25</t>
  </si>
  <si>
    <t>26 - 30</t>
  </si>
  <si>
    <t>31 - 35</t>
  </si>
  <si>
    <t>36 - 40</t>
  </si>
  <si>
    <t>41 - 45</t>
  </si>
  <si>
    <t>46 en adelante</t>
  </si>
  <si>
    <t>Municipio:</t>
  </si>
  <si>
    <t>Departamento:</t>
  </si>
  <si>
    <t xml:space="preserve">Pregunta Numero 1: </t>
  </si>
  <si>
    <t xml:space="preserve">Pregunta Numero 2: </t>
  </si>
  <si>
    <t xml:space="preserve">Pregunta Numero 3: </t>
  </si>
  <si>
    <t xml:space="preserve">Pregunta Numero 4: </t>
  </si>
  <si>
    <t xml:space="preserve">Pregunta Numero 5: </t>
  </si>
  <si>
    <t xml:space="preserve">Pregunta Numero 6: </t>
  </si>
  <si>
    <t xml:space="preserve">Pregunta Numero 7: </t>
  </si>
  <si>
    <t xml:space="preserve">Pregunta Numero 8: </t>
  </si>
  <si>
    <t>Si</t>
  </si>
  <si>
    <t>Medicion de Indicadores de Transparencia y Derecho Humano del Acceso a la Información para el año 2017</t>
  </si>
  <si>
    <t>No.</t>
  </si>
  <si>
    <t>F</t>
  </si>
  <si>
    <t>La Esperanza</t>
  </si>
  <si>
    <t>No</t>
  </si>
  <si>
    <t>Poca</t>
  </si>
  <si>
    <t>Elevada</t>
  </si>
  <si>
    <t>Alguna</t>
  </si>
  <si>
    <t>Blanco</t>
  </si>
  <si>
    <t>M</t>
  </si>
  <si>
    <t>no</t>
  </si>
  <si>
    <t>Yamaranguila</t>
  </si>
  <si>
    <t>Jesus de Otoro</t>
  </si>
  <si>
    <t>Ninguna</t>
  </si>
  <si>
    <t>Municipio</t>
  </si>
  <si>
    <t>1. ¿Sabe usted qué es el derecho humano de Acceso a la Información Pública?</t>
  </si>
  <si>
    <t>2. ¿Conoce que existe una ley que garantiza el derecho humano de acceso a la información pública?</t>
  </si>
  <si>
    <t>3. ¿Alguna vez ha ejercido (usado) el derecho humano de acceso a la información pública?</t>
  </si>
  <si>
    <t>4. ¿Ha consultado alguna vez información pública en un portal de transparencia?</t>
  </si>
  <si>
    <t>5. ¿Alguna vez ha solicitado por escrito o por medios electrónicos información a una institución pública?</t>
  </si>
  <si>
    <t>6. ¿En su opinión, qué tanta utilidad cree que tiene la transparencia y el acceso a la información pública?</t>
  </si>
  <si>
    <t>7. ¿Sabe usted dónde y cómo presentar una queja en caso de que su derecho humano de acceso a la información pública es o fuera violado?</t>
  </si>
  <si>
    <t>8. ¿Sabe usted si en el municipio donde reside existe el Comisionado Municipal y cuál es su función?</t>
  </si>
  <si>
    <t>Total Masculino</t>
  </si>
  <si>
    <t>Total Femenino</t>
  </si>
  <si>
    <t>Resultados del Departamento</t>
  </si>
  <si>
    <t>Total de Personas Encuestadas</t>
  </si>
  <si>
    <t>El Paraíso</t>
  </si>
  <si>
    <t>Intibucá</t>
  </si>
  <si>
    <t>Danlí</t>
  </si>
  <si>
    <t>Gracias</t>
  </si>
  <si>
    <t>La Campa</t>
  </si>
  <si>
    <t>Las Flores</t>
  </si>
  <si>
    <t>Lempira</t>
  </si>
  <si>
    <t xml:space="preserve">Santa Barbará </t>
  </si>
  <si>
    <t>Santa Barbará</t>
  </si>
  <si>
    <t>Ceguaca</t>
  </si>
  <si>
    <t>San Vicente</t>
  </si>
  <si>
    <t>Choluteca</t>
  </si>
  <si>
    <t>Santa Ana de Yusguare</t>
  </si>
  <si>
    <t>Marcovia</t>
  </si>
  <si>
    <t>SRC</t>
  </si>
  <si>
    <t>Corquin</t>
  </si>
  <si>
    <t>Dulce Nombre</t>
  </si>
  <si>
    <t>Copán</t>
  </si>
  <si>
    <t>La Paz</t>
  </si>
  <si>
    <t>Tutule</t>
  </si>
  <si>
    <t>Marcala</t>
  </si>
  <si>
    <t>Yoro</t>
  </si>
  <si>
    <t>Yorito</t>
  </si>
  <si>
    <t>Morazan</t>
  </si>
  <si>
    <t>Nacaome</t>
  </si>
  <si>
    <t>San Lorenzo</t>
  </si>
  <si>
    <t>San Francisco de Coray</t>
  </si>
  <si>
    <t>Alianza</t>
  </si>
  <si>
    <t>Caridad</t>
  </si>
  <si>
    <t>Valle</t>
  </si>
  <si>
    <t>Coray</t>
  </si>
  <si>
    <t>Aramecina</t>
  </si>
  <si>
    <t>Guaimaca</t>
  </si>
  <si>
    <t>Distrito Central</t>
  </si>
  <si>
    <t>San Ignacio</t>
  </si>
  <si>
    <t>Francisco Morazan</t>
  </si>
  <si>
    <t>Trujillo</t>
  </si>
  <si>
    <t>Santa Fe</t>
  </si>
  <si>
    <t>Limon</t>
  </si>
  <si>
    <t>Colon</t>
  </si>
  <si>
    <t>Villa Nueva</t>
  </si>
  <si>
    <t>Potrerillos</t>
  </si>
  <si>
    <t>SPS</t>
  </si>
  <si>
    <t>Cortes</t>
  </si>
  <si>
    <t>Comayagua</t>
  </si>
  <si>
    <t>Lejamani</t>
  </si>
  <si>
    <t>San Jose</t>
  </si>
  <si>
    <t>Ocotepeque</t>
  </si>
  <si>
    <t>Sinuapa</t>
  </si>
  <si>
    <t>La Labor</t>
  </si>
  <si>
    <t>El Rosario</t>
  </si>
  <si>
    <t>Campamento</t>
  </si>
  <si>
    <t>Juticalpa</t>
  </si>
  <si>
    <t>Olancho</t>
  </si>
  <si>
    <t>Puerto Lempira</t>
  </si>
  <si>
    <t>Brus Laguna</t>
  </si>
  <si>
    <t>Gracias a Dios</t>
  </si>
  <si>
    <t>El Porvenir</t>
  </si>
  <si>
    <t>Jutiapa</t>
  </si>
  <si>
    <t>La Ceiba</t>
  </si>
  <si>
    <t>Atlantida</t>
  </si>
  <si>
    <t>Roatan</t>
  </si>
  <si>
    <t>Oak Ridge</t>
  </si>
  <si>
    <t>Islas de la Bahia</t>
  </si>
  <si>
    <t>Resultados Nacionales</t>
  </si>
  <si>
    <t>Porcentaje</t>
  </si>
  <si>
    <t>Masculino</t>
  </si>
  <si>
    <t>Femenino</t>
  </si>
  <si>
    <t>Respondieron Elevado</t>
  </si>
  <si>
    <t>Respondieron No</t>
  </si>
  <si>
    <t>Respondieron Si</t>
  </si>
  <si>
    <t>Respondieron Alguna</t>
  </si>
  <si>
    <t>Respondieron Poca</t>
  </si>
  <si>
    <t>Respondieron Ninguna</t>
  </si>
  <si>
    <t>Respondieron Elevada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</si>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</sst>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1" xfId="0" applyFont="1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1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9" fontId="0" fillId="0" borderId="6" xfId="1" applyFont="1" applyBorder="1"/>
    <xf numFmtId="9" fontId="0" fillId="0" borderId="9" xfId="1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9" fontId="0" fillId="0" borderId="41" xfId="1" applyFont="1" applyBorder="1" applyAlignment="1">
      <alignment horizontal="center"/>
    </xf>
    <xf numFmtId="9" fontId="0" fillId="0" borderId="42" xfId="1" applyFont="1" applyBorder="1" applyAlignment="1">
      <alignment horizontal="center"/>
    </xf>
    <xf numFmtId="9" fontId="0" fillId="0" borderId="43" xfId="1" applyFont="1" applyBorder="1" applyAlignment="1">
      <alignment horizontal="center"/>
    </xf>
    <xf numFmtId="9" fontId="0" fillId="0" borderId="13" xfId="1" applyFont="1" applyBorder="1" applyAlignment="1">
      <alignment horizontal="center"/>
    </xf>
    <xf numFmtId="9" fontId="0" fillId="0" borderId="45" xfId="1" applyFont="1" applyBorder="1" applyAlignment="1">
      <alignment horizontal="center"/>
    </xf>
    <xf numFmtId="9" fontId="0" fillId="0" borderId="46" xfId="1" applyFont="1" applyBorder="1" applyAlignment="1">
      <alignment horizontal="center"/>
    </xf>
    <xf numFmtId="9" fontId="0" fillId="0" borderId="47" xfId="1" applyFont="1" applyBorder="1" applyAlignment="1">
      <alignment horizontal="center"/>
    </xf>
    <xf numFmtId="9" fontId="0" fillId="0" borderId="48" xfId="1" applyFont="1" applyBorder="1" applyAlignment="1">
      <alignment horizontal="center"/>
    </xf>
    <xf numFmtId="9" fontId="0" fillId="0" borderId="49" xfId="1" applyFont="1" applyBorder="1" applyAlignment="1">
      <alignment horizontal="center"/>
    </xf>
    <xf numFmtId="9" fontId="0" fillId="0" borderId="51" xfId="1" applyFont="1" applyBorder="1" applyAlignment="1">
      <alignment horizontal="center"/>
    </xf>
    <xf numFmtId="9" fontId="0" fillId="0" borderId="0" xfId="1" applyFont="1" applyBorder="1" applyAlignment="1">
      <alignment horizontal="center"/>
    </xf>
    <xf numFmtId="9" fontId="0" fillId="0" borderId="52" xfId="1" applyFont="1" applyBorder="1" applyAlignment="1">
      <alignment horizontal="center"/>
    </xf>
    <xf numFmtId="9" fontId="0" fillId="0" borderId="40" xfId="1" applyFont="1" applyBorder="1" applyAlignment="1">
      <alignment horizontal="center"/>
    </xf>
    <xf numFmtId="0" fontId="0" fillId="0" borderId="4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9" fontId="0" fillId="0" borderId="39" xfId="1" applyFont="1" applyBorder="1" applyAlignment="1">
      <alignment horizontal="center"/>
    </xf>
    <xf numFmtId="0" fontId="0" fillId="0" borderId="48" xfId="1" applyNumberFormat="1" applyFont="1" applyBorder="1" applyAlignment="1">
      <alignment horizontal="center"/>
    </xf>
    <xf numFmtId="0" fontId="0" fillId="0" borderId="46" xfId="1" applyNumberFormat="1" applyFont="1" applyBorder="1" applyAlignment="1">
      <alignment horizontal="center"/>
    </xf>
    <xf numFmtId="0" fontId="0" fillId="0" borderId="47" xfId="1" applyNumberFormat="1" applyFont="1" applyBorder="1" applyAlignment="1">
      <alignment horizontal="center"/>
    </xf>
    <xf numFmtId="9" fontId="0" fillId="0" borderId="50" xfId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8" xfId="1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HN"/>
              <a:t>Participantes por Genero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'Resultados Nacionales'!$A$2:$A$4</c:f>
              <c:strCache>
                <c:ptCount val="3"/>
                <c:pt idx="0">
                  <c:v>Total Masculino</c:v>
                </c:pt>
                <c:pt idx="1">
                  <c:v>Total Femenino</c:v>
                </c:pt>
                <c:pt idx="2">
                  <c:v>Blanco</c:v>
                </c:pt>
              </c:strCache>
            </c:strRef>
          </c:cat>
          <c:val>
            <c:numRef>
              <c:f>'Resultados Nacionales'!$E$2:$E$4</c:f>
              <c:numCache>
                <c:formatCode>0%</c:formatCode>
                <c:ptCount val="3"/>
                <c:pt idx="0">
                  <c:v>0.44969512195121952</c:v>
                </c:pt>
                <c:pt idx="1">
                  <c:v>0.50304878048780488</c:v>
                </c:pt>
                <c:pt idx="2">
                  <c:v>4.725609756097561E-2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10-4624-AE13-08681287B85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HN"/>
              <a:t>8. ¿Sabe usted si en el municipio donde reside existe el Comisionado Municipal y cuál es su función?</a:t>
            </a:r>
          </a:p>
        </c:rich>
      </c:tx>
      <c:layout/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strRef>
              <c:f>'Resultados Nacionales'!$B$35:$B$37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Blanco</c:v>
                </c:pt>
              </c:strCache>
            </c:strRef>
          </c:cat>
          <c:val>
            <c:numRef>
              <c:f>'Resultados Nacionales'!$E$35:$E$37</c:f>
              <c:numCache>
                <c:formatCode>0%</c:formatCode>
                <c:ptCount val="3"/>
                <c:pt idx="0">
                  <c:v>0.57926829268292679</c:v>
                </c:pt>
                <c:pt idx="1">
                  <c:v>0.41768292682926828</c:v>
                </c:pt>
                <c:pt idx="2">
                  <c:v>3.0487804878048782E-3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CB-4570-8B8F-AC74E97C2288}"/>
            </c:ext>
          </c:extLst>
        </c:ser>
        <c:ser>
          <c:idx val="1"/>
          <c:order val="1"/>
          <c:cat>
            <c:strRef>
              <c:f>'Resultados Nacionales'!$B$35:$B$37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Blanco</c:v>
                </c:pt>
              </c:strCache>
            </c:strRef>
          </c:cat>
          <c:val>
            <c:numRef>
              <c:f>'Resultados Nacionales'!$E$35:$E$37</c:f>
              <c:numCache>
                <c:formatCode>0%</c:formatCode>
                <c:ptCount val="3"/>
                <c:pt idx="0">
                  <c:v>0.57926829268292679</c:v>
                </c:pt>
                <c:pt idx="1">
                  <c:v>0.41768292682926828</c:v>
                </c:pt>
                <c:pt idx="2">
                  <c:v>3.0487804878048782E-3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CB-4570-8B8F-AC74E97C2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740224"/>
        <c:axId val="50746112"/>
      </c:areaChart>
      <c:catAx>
        <c:axId val="5074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0746112"/>
        <c:crosses val="autoZero"/>
        <c:auto val="1"/>
        <c:lblAlgn val="ctr"/>
        <c:lblOffset val="100"/>
        <c:noMultiLvlLbl val="0"/>
      </c:catAx>
      <c:valAx>
        <c:axId val="50746112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0%" sourceLinked="1"/>
        <c:majorTickMark val="none"/>
        <c:minorTickMark val="none"/>
        <c:tickLblPos val="nextTo"/>
        <c:crossAx val="507402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HN"/>
              <a:t>Si saben que es el Derecho de</a:t>
            </a:r>
            <a:r>
              <a:rPr lang="es-HN" baseline="0"/>
              <a:t> Acceso a la Informacion</a:t>
            </a:r>
            <a:endParaRPr lang="es-HN"/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'Resultados Nacionales'!$G$13:$G$15</c:f>
              <c:strCache>
                <c:ptCount val="3"/>
                <c:pt idx="0">
                  <c:v>Masculino</c:v>
                </c:pt>
                <c:pt idx="1">
                  <c:v>Femenino</c:v>
                </c:pt>
                <c:pt idx="2">
                  <c:v>Blanco</c:v>
                </c:pt>
              </c:strCache>
            </c:strRef>
          </c:cat>
          <c:val>
            <c:numRef>
              <c:f>'Resultados Nacionales'!$I$13:$I$15</c:f>
              <c:numCache>
                <c:formatCode>0%</c:formatCode>
                <c:ptCount val="3"/>
                <c:pt idx="0">
                  <c:v>0.45524296675191817</c:v>
                </c:pt>
                <c:pt idx="1">
                  <c:v>0.49616368286445012</c:v>
                </c:pt>
                <c:pt idx="2">
                  <c:v>4.859335038363171E-2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2-4393-ADAC-73DFE2B3DFD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HN"/>
              <a:t>Si conocen de la Existencia de Una Ley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H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'Resultados Nacionales'!$G$16:$G$18</c:f>
              <c:strCache>
                <c:ptCount val="3"/>
                <c:pt idx="0">
                  <c:v>Masculino</c:v>
                </c:pt>
                <c:pt idx="1">
                  <c:v>Femenino</c:v>
                </c:pt>
                <c:pt idx="2">
                  <c:v>Blanco</c:v>
                </c:pt>
              </c:strCache>
            </c:strRef>
          </c:cat>
          <c:val>
            <c:numRef>
              <c:f>'Resultados Nacionales'!$I$16:$I$18</c:f>
              <c:numCache>
                <c:formatCode>0%</c:formatCode>
                <c:ptCount val="3"/>
                <c:pt idx="0">
                  <c:v>0.48571428571428571</c:v>
                </c:pt>
                <c:pt idx="1">
                  <c:v>0.46904761904761905</c:v>
                </c:pt>
                <c:pt idx="2">
                  <c:v>4.5238095238095237E-2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4-4CC8-BBB1-A42650201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321344"/>
        <c:axId val="101350016"/>
        <c:axId val="0"/>
      </c:bar3DChart>
      <c:catAx>
        <c:axId val="101321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1350016"/>
        <c:crosses val="autoZero"/>
        <c:auto val="1"/>
        <c:lblAlgn val="ctr"/>
        <c:lblOffset val="100"/>
        <c:noMultiLvlLbl val="0"/>
      </c:catAx>
      <c:valAx>
        <c:axId val="10135001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01321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HN"/>
              <a:t>No han Ejerricido</a:t>
            </a:r>
            <a:r>
              <a:rPr lang="es-HN" baseline="0"/>
              <a:t> su derecho de Accesso a la Informacion</a:t>
            </a:r>
            <a:endParaRPr lang="es-HN"/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'Resultados Nacionales'!$K$22:$K$24</c:f>
              <c:strCache>
                <c:ptCount val="3"/>
                <c:pt idx="0">
                  <c:v>Masculino</c:v>
                </c:pt>
                <c:pt idx="1">
                  <c:v>Femenino</c:v>
                </c:pt>
                <c:pt idx="2">
                  <c:v>Blanco</c:v>
                </c:pt>
              </c:strCache>
            </c:strRef>
          </c:cat>
          <c:val>
            <c:numRef>
              <c:f>'Resultados Nacionales'!$M$22:$M$24</c:f>
              <c:numCache>
                <c:formatCode>0%</c:formatCode>
                <c:ptCount val="3"/>
                <c:pt idx="0">
                  <c:v>0.44400000000000001</c:v>
                </c:pt>
                <c:pt idx="1">
                  <c:v>0.51400000000000001</c:v>
                </c:pt>
                <c:pt idx="2">
                  <c:v>4.2000000000000003E-2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0-4D9B-8C2F-BD43F05B99E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HN"/>
              <a:t>No</a:t>
            </a:r>
            <a:r>
              <a:rPr lang="es-HN" baseline="0"/>
              <a:t> han consultado un Portal de Transparencia</a:t>
            </a:r>
            <a:endParaRPr lang="es-HN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H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'Resultados Nacionales'!$K$22:$K$24</c:f>
              <c:strCache>
                <c:ptCount val="3"/>
                <c:pt idx="0">
                  <c:v>Masculino</c:v>
                </c:pt>
                <c:pt idx="1">
                  <c:v>Femenino</c:v>
                </c:pt>
                <c:pt idx="2">
                  <c:v>Blanco</c:v>
                </c:pt>
              </c:strCache>
            </c:strRef>
          </c:cat>
          <c:val>
            <c:numRef>
              <c:f>'Resultados Nacionales'!$M$22:$M$24</c:f>
              <c:numCache>
                <c:formatCode>0%</c:formatCode>
                <c:ptCount val="3"/>
                <c:pt idx="0">
                  <c:v>0.44400000000000001</c:v>
                </c:pt>
                <c:pt idx="1">
                  <c:v>0.51400000000000001</c:v>
                </c:pt>
                <c:pt idx="2">
                  <c:v>4.2000000000000003E-2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3-45AA-A285-6D165D608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134221184"/>
        <c:axId val="135480448"/>
        <c:axId val="0"/>
      </c:bar3DChart>
      <c:catAx>
        <c:axId val="134221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5480448"/>
        <c:crosses val="autoZero"/>
        <c:auto val="1"/>
        <c:lblAlgn val="ctr"/>
        <c:lblOffset val="100"/>
        <c:noMultiLvlLbl val="0"/>
      </c:catAx>
      <c:valAx>
        <c:axId val="13548044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4221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HN"/>
              <a:t>No han Solicitado Informacion</a:t>
            </a:r>
            <a:r>
              <a:rPr lang="es-HN" baseline="0"/>
              <a:t> a Instituciones Pùblicas</a:t>
            </a:r>
            <a:endParaRPr lang="es-HN"/>
          </a:p>
        </c:rich>
      </c:tx>
      <c:layout/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H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'Resultados Nacionales'!$K$25:$K$27</c:f>
              <c:strCache>
                <c:ptCount val="3"/>
                <c:pt idx="0">
                  <c:v>Masculino</c:v>
                </c:pt>
                <c:pt idx="1">
                  <c:v>Femenino</c:v>
                </c:pt>
                <c:pt idx="2">
                  <c:v>Blanco</c:v>
                </c:pt>
              </c:strCache>
            </c:strRef>
          </c:cat>
          <c:val>
            <c:numRef>
              <c:f>'Resultados Nacionales'!$M$25:$M$27</c:f>
              <c:numCache>
                <c:formatCode>0%</c:formatCode>
                <c:ptCount val="3"/>
                <c:pt idx="0">
                  <c:v>0.44422700587084146</c:v>
                </c:pt>
                <c:pt idx="1">
                  <c:v>0.51272015655577297</c:v>
                </c:pt>
                <c:pt idx="2">
                  <c:v>4.3052837573385516E-2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2F-47C2-952E-0130F727E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440064"/>
        <c:axId val="135446528"/>
      </c:areaChart>
      <c:catAx>
        <c:axId val="138440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5446528"/>
        <c:crosses val="autoZero"/>
        <c:auto val="1"/>
        <c:lblAlgn val="ctr"/>
        <c:lblOffset val="100"/>
        <c:noMultiLvlLbl val="0"/>
      </c:catAx>
      <c:valAx>
        <c:axId val="135446528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0%" sourceLinked="1"/>
        <c:majorTickMark val="none"/>
        <c:minorTickMark val="none"/>
        <c:tickLblPos val="nextTo"/>
        <c:crossAx val="1384400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HN"/>
              <a:t>Utilidad</a:t>
            </a:r>
            <a:r>
              <a:rPr lang="es-HN" baseline="0"/>
              <a:t> Elevada de la Transparencia por Genero</a:t>
            </a:r>
            <a:endParaRPr lang="es-HN"/>
          </a:p>
        </c:rich>
      </c:tx>
      <c:layout/>
      <c:overlay val="0"/>
    </c:title>
    <c:autoTitleDeleted val="0"/>
    <c:view3D>
      <c:rotX val="30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H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'Resultados Nacionales'!$G$28:$G$30</c:f>
              <c:strCache>
                <c:ptCount val="3"/>
                <c:pt idx="0">
                  <c:v>Masculino</c:v>
                </c:pt>
                <c:pt idx="1">
                  <c:v>Femenino</c:v>
                </c:pt>
                <c:pt idx="2">
                  <c:v>Blanco</c:v>
                </c:pt>
              </c:strCache>
            </c:strRef>
          </c:cat>
          <c:val>
            <c:numRef>
              <c:f>'Resultados Nacionales'!$I$28:$I$30</c:f>
              <c:numCache>
                <c:formatCode>0%</c:formatCode>
                <c:ptCount val="3"/>
                <c:pt idx="0">
                  <c:v>0.45454545454545453</c:v>
                </c:pt>
                <c:pt idx="1">
                  <c:v>0.49831649831649832</c:v>
                </c:pt>
                <c:pt idx="2">
                  <c:v>4.7138047138047139E-2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7-4B9D-80C4-BE9E240C9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cylinder"/>
        <c:axId val="138831360"/>
        <c:axId val="138832896"/>
        <c:axId val="0"/>
      </c:bar3DChart>
      <c:catAx>
        <c:axId val="138831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8832896"/>
        <c:crosses val="autoZero"/>
        <c:auto val="1"/>
        <c:lblAlgn val="ctr"/>
        <c:lblOffset val="100"/>
        <c:noMultiLvlLbl val="0"/>
      </c:catAx>
      <c:valAx>
        <c:axId val="13883289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8831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HN"/>
              <a:t>Saben</a:t>
            </a:r>
            <a:r>
              <a:rPr lang="es-HN" baseline="0"/>
              <a:t> adonde acutdir en caso que sus derechos fueran violentados</a:t>
            </a:r>
          </a:p>
          <a:p>
            <a:pPr>
              <a:defRPr/>
            </a:pPr>
            <a:endParaRPr lang="es-HN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'Resultados Nacionales'!$G$35:$G$37</c:f>
              <c:strCache>
                <c:ptCount val="3"/>
                <c:pt idx="0">
                  <c:v>Masculino</c:v>
                </c:pt>
                <c:pt idx="1">
                  <c:v>Femenino</c:v>
                </c:pt>
                <c:pt idx="2">
                  <c:v>Blanco</c:v>
                </c:pt>
              </c:strCache>
            </c:strRef>
          </c:cat>
          <c:val>
            <c:numRef>
              <c:f>'Resultados Nacionales'!$I$35:$I$37</c:f>
              <c:numCache>
                <c:formatCode>0%</c:formatCode>
                <c:ptCount val="3"/>
                <c:pt idx="0">
                  <c:v>0.45789473684210524</c:v>
                </c:pt>
                <c:pt idx="1">
                  <c:v>0.5</c:v>
                </c:pt>
                <c:pt idx="2">
                  <c:v>4.2105263157894736E-2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58-41E9-B935-65613DAFF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601024"/>
        <c:axId val="139602560"/>
        <c:axId val="0"/>
      </c:bar3DChart>
      <c:catAx>
        <c:axId val="139601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9602560"/>
        <c:crosses val="autoZero"/>
        <c:auto val="1"/>
        <c:lblAlgn val="ctr"/>
        <c:lblOffset val="100"/>
        <c:noMultiLvlLbl val="0"/>
      </c:catAx>
      <c:valAx>
        <c:axId val="13960256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9601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HN"/>
              <a:t>Si</a:t>
            </a:r>
            <a:r>
              <a:rPr lang="es-HN" baseline="0"/>
              <a:t> conoce sobre el Comisionado Municipal </a:t>
            </a:r>
            <a:endParaRPr lang="es-HN"/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'Resultados Nacionales'!$G$35:$G$37</c:f>
              <c:strCache>
                <c:ptCount val="3"/>
                <c:pt idx="0">
                  <c:v>Masculino</c:v>
                </c:pt>
                <c:pt idx="1">
                  <c:v>Femenino</c:v>
                </c:pt>
                <c:pt idx="2">
                  <c:v>Blanco</c:v>
                </c:pt>
              </c:strCache>
            </c:strRef>
          </c:cat>
          <c:val>
            <c:numRef>
              <c:f>'Resultados Nacionales'!$I$35:$I$37</c:f>
              <c:numCache>
                <c:formatCode>0%</c:formatCode>
                <c:ptCount val="3"/>
                <c:pt idx="0">
                  <c:v>0.45789473684210524</c:v>
                </c:pt>
                <c:pt idx="1">
                  <c:v>0.5</c:v>
                </c:pt>
                <c:pt idx="2">
                  <c:v>4.2105263157894736E-2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11-4973-8E09-66AFF9C6BD6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HN"/>
              <a:t>Edad</a:t>
            </a:r>
          </a:p>
        </c:rich>
      </c:tx>
      <c:layout/>
      <c:overlay val="0"/>
    </c:title>
    <c:autoTitleDeleted val="0"/>
    <c:plotArea>
      <c:layout/>
      <c:doughnut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'Resultados Nacionales'!$B$6:$B$12</c:f>
              <c:strCache>
                <c:ptCount val="7"/>
                <c:pt idx="0">
                  <c:v>18 - 25</c:v>
                </c:pt>
                <c:pt idx="1">
                  <c:v>26 - 30</c:v>
                </c:pt>
                <c:pt idx="2">
                  <c:v>31 - 35</c:v>
                </c:pt>
                <c:pt idx="3">
                  <c:v>36 - 40</c:v>
                </c:pt>
                <c:pt idx="4">
                  <c:v>41 - 45</c:v>
                </c:pt>
                <c:pt idx="5">
                  <c:v>46 en adelante</c:v>
                </c:pt>
                <c:pt idx="6">
                  <c:v>Blanco</c:v>
                </c:pt>
              </c:strCache>
            </c:strRef>
          </c:cat>
          <c:val>
            <c:numRef>
              <c:f>'Resultados Nacionales'!$E$6:$E$12</c:f>
              <c:numCache>
                <c:formatCode>0%</c:formatCode>
                <c:ptCount val="7"/>
                <c:pt idx="0">
                  <c:v>0.19969512195121952</c:v>
                </c:pt>
                <c:pt idx="1">
                  <c:v>0.14176829268292682</c:v>
                </c:pt>
                <c:pt idx="2">
                  <c:v>0.1402439024390244</c:v>
                </c:pt>
                <c:pt idx="3">
                  <c:v>0.1173780487804878</c:v>
                </c:pt>
                <c:pt idx="4">
                  <c:v>0.13719512195121952</c:v>
                </c:pt>
                <c:pt idx="5">
                  <c:v>0.21036585365853658</c:v>
                </c:pt>
                <c:pt idx="6">
                  <c:v>5.3353658536585365E-2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2B-4224-BE7B-43E2DA30104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HN"/>
              <a:t>1. ¿Sabe usted qué es el derecho humano de Acceso a la Información Pública?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'Resultados Nacionales'!$B$13</c:f>
              <c:strCache>
                <c:ptCount val="1"/>
                <c:pt idx="0">
                  <c:v>Si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'Resultados Nacionales'!$E$13</c:f>
              <c:numCache>
                <c:formatCode>0%</c:formatCode>
                <c:ptCount val="1"/>
                <c:pt idx="0">
                  <c:v>0.59603658536585369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2-42E9-A7A0-8ABE1194858C}"/>
            </c:ext>
          </c:extLst>
        </c:ser>
        <c:ser>
          <c:idx val="1"/>
          <c:order val="1"/>
          <c:tx>
            <c:strRef>
              <c:f>'Resultados Nacionales'!$B$14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'Resultados Nacionales'!$E$14</c:f>
              <c:numCache>
                <c:formatCode>0%</c:formatCode>
                <c:ptCount val="1"/>
                <c:pt idx="0">
                  <c:v>0.40243902439024393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32-42E9-A7A0-8ABE1194858C}"/>
            </c:ext>
          </c:extLst>
        </c:ser>
        <c:ser>
          <c:idx val="2"/>
          <c:order val="2"/>
          <c:tx>
            <c:strRef>
              <c:f>'Resultados Nacionales'!$B$15</c:f>
              <c:strCache>
                <c:ptCount val="1"/>
                <c:pt idx="0">
                  <c:v>Blanco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'Resultados Nacionales'!$E$15</c:f>
              <c:numCache>
                <c:formatCode>0%</c:formatCode>
                <c:ptCount val="1"/>
                <c:pt idx="0">
                  <c:v>1.5243902439024391E-3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32-42E9-A7A0-8ABE11948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979072"/>
        <c:axId val="83095936"/>
        <c:axId val="0"/>
      </c:bar3DChart>
      <c:catAx>
        <c:axId val="82979072"/>
        <c:scaling>
          <c:orientation val="minMax"/>
        </c:scaling>
        <c:delete val="1"/>
        <c:axPos val="b"/>
        <c:majorTickMark val="none"/>
        <c:minorTickMark val="none"/>
        <c:tickLblPos val="none"/>
        <c:crossAx val="83095936"/>
        <c:crosses val="autoZero"/>
        <c:auto val="1"/>
        <c:lblAlgn val="ctr"/>
        <c:lblOffset val="100"/>
        <c:noMultiLvlLbl val="0"/>
      </c:catAx>
      <c:valAx>
        <c:axId val="8309593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829790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HN"/>
              <a:t>2. ¿Conoce que existe una ley que garantiza el derecho humano de acceso a la información pública?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'Resultados Nacionales'!$B$16</c:f>
              <c:strCache>
                <c:ptCount val="1"/>
                <c:pt idx="0">
                  <c:v>Si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'Resultados Nacionales'!$E$16</c:f>
              <c:numCache>
                <c:formatCode>0%</c:formatCode>
                <c:ptCount val="1"/>
                <c:pt idx="0">
                  <c:v>0.6402439024390244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5D-4193-B700-2A5B7F29242D}"/>
            </c:ext>
          </c:extLst>
        </c:ser>
        <c:ser>
          <c:idx val="1"/>
          <c:order val="1"/>
          <c:tx>
            <c:strRef>
              <c:f>'Resultados Nacionales'!$B$17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'Resultados Nacionales'!$E$17</c:f>
              <c:numCache>
                <c:formatCode>0%</c:formatCode>
                <c:ptCount val="1"/>
                <c:pt idx="0">
                  <c:v>0.35518292682926828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5D-4193-B700-2A5B7F29242D}"/>
            </c:ext>
          </c:extLst>
        </c:ser>
        <c:ser>
          <c:idx val="2"/>
          <c:order val="2"/>
          <c:tx>
            <c:strRef>
              <c:f>'Resultados Nacionales'!$B$18</c:f>
              <c:strCache>
                <c:ptCount val="1"/>
                <c:pt idx="0">
                  <c:v>Blanco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'Resultados Nacionales'!$E$18</c:f>
              <c:numCache>
                <c:formatCode>0%</c:formatCode>
                <c:ptCount val="1"/>
                <c:pt idx="0">
                  <c:v>4.5731707317073168E-3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5D-4193-B700-2A5B7F292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179264"/>
        <c:axId val="89230720"/>
        <c:axId val="0"/>
      </c:bar3DChart>
      <c:catAx>
        <c:axId val="89179264"/>
        <c:scaling>
          <c:orientation val="minMax"/>
        </c:scaling>
        <c:delete val="1"/>
        <c:axPos val="l"/>
        <c:majorTickMark val="none"/>
        <c:minorTickMark val="none"/>
        <c:tickLblPos val="none"/>
        <c:crossAx val="89230720"/>
        <c:crosses val="autoZero"/>
        <c:auto val="1"/>
        <c:lblAlgn val="ctr"/>
        <c:lblOffset val="100"/>
        <c:noMultiLvlLbl val="0"/>
      </c:catAx>
      <c:valAx>
        <c:axId val="89230720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89179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HN"/>
              <a:t>3. ¿Alguna vez ha ejercido (usado) el derecho humano de acceso a la información pública?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'Resultados Nacionales'!$B$19:$B$21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Blanco</c:v>
                </c:pt>
              </c:strCache>
            </c:strRef>
          </c:cat>
          <c:val>
            <c:numRef>
              <c:f>'Resultados Nacionales'!$E$19:$E$21</c:f>
              <c:numCache>
                <c:formatCode>0%</c:formatCode>
                <c:ptCount val="3"/>
                <c:pt idx="0">
                  <c:v>0.26829268292682928</c:v>
                </c:pt>
                <c:pt idx="1">
                  <c:v>0.72713414634146345</c:v>
                </c:pt>
                <c:pt idx="2">
                  <c:v>4.5731707317073168E-3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E9-4DED-A4EE-98BD6AF8398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HN"/>
              <a:t>4. ¿Ha consultado alguna vez información pública en un portal de transparencia?</a:t>
            </a:r>
          </a:p>
        </c:rich>
      </c:tx>
      <c:layout/>
      <c:overlay val="0"/>
    </c:title>
    <c:autoTitleDeleted val="0"/>
    <c:plotArea>
      <c:layout/>
      <c:doughnut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'Resultados Nacionales'!$B$22:$B$24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Blanco</c:v>
                </c:pt>
              </c:strCache>
            </c:strRef>
          </c:cat>
          <c:val>
            <c:numRef>
              <c:f>'Resultados Nacionales'!$E$22:$E$24</c:f>
              <c:numCache>
                <c:formatCode>0%</c:formatCode>
                <c:ptCount val="3"/>
                <c:pt idx="0">
                  <c:v>0.23323170731707318</c:v>
                </c:pt>
                <c:pt idx="1">
                  <c:v>0.76219512195121952</c:v>
                </c:pt>
                <c:pt idx="2">
                  <c:v>4.5731707317073168E-3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2B-4362-9BCE-C19A8BB735B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HN" sz="1600"/>
              <a:t>5. ¿Alguna vez ha solicitado por escrito o por medios electrónicos información a una institución pública?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'Resultados Nacionales'!$B$25</c:f>
              <c:strCache>
                <c:ptCount val="1"/>
                <c:pt idx="0">
                  <c:v>Si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'Resultados Nacionales'!$E$25</c:f>
              <c:numCache>
                <c:formatCode>0%</c:formatCode>
                <c:ptCount val="1"/>
                <c:pt idx="0">
                  <c:v>0.21646341463414634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D8-41CA-BE87-876D853A841D}"/>
            </c:ext>
          </c:extLst>
        </c:ser>
        <c:ser>
          <c:idx val="1"/>
          <c:order val="1"/>
          <c:tx>
            <c:strRef>
              <c:f>'Resultados Nacionales'!$B$26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'Resultados Nacionales'!$E$26</c:f>
              <c:numCache>
                <c:formatCode>0%</c:formatCode>
                <c:ptCount val="1"/>
                <c:pt idx="0">
                  <c:v>0.77896341463414631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D8-41CA-BE87-876D853A841D}"/>
            </c:ext>
          </c:extLst>
        </c:ser>
        <c:ser>
          <c:idx val="2"/>
          <c:order val="2"/>
          <c:tx>
            <c:strRef>
              <c:f>'Resultados Nacionales'!$B$27</c:f>
              <c:strCache>
                <c:ptCount val="1"/>
                <c:pt idx="0">
                  <c:v>Blanco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'Resultados Nacionales'!$E$27</c:f>
              <c:numCache>
                <c:formatCode>0%</c:formatCode>
                <c:ptCount val="1"/>
                <c:pt idx="0">
                  <c:v>4.5731707317073168E-3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D8-41CA-BE87-876D853A8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0653440"/>
        <c:axId val="50663424"/>
        <c:axId val="0"/>
      </c:bar3DChart>
      <c:catAx>
        <c:axId val="50653440"/>
        <c:scaling>
          <c:orientation val="minMax"/>
        </c:scaling>
        <c:delete val="1"/>
        <c:axPos val="b"/>
        <c:majorTickMark val="none"/>
        <c:minorTickMark val="none"/>
        <c:tickLblPos val="none"/>
        <c:crossAx val="50663424"/>
        <c:crosses val="autoZero"/>
        <c:auto val="1"/>
        <c:lblAlgn val="ctr"/>
        <c:lblOffset val="100"/>
        <c:noMultiLvlLbl val="0"/>
      </c:catAx>
      <c:valAx>
        <c:axId val="5066342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50653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HN"/>
              <a:t>6. ¿En su opinión, qué tanta utilidad cree que tiene la transparencia y el acceso a la información pública?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'Resultados Nacionales'!$B$28:$B$31</c:f>
              <c:strCache>
                <c:ptCount val="4"/>
                <c:pt idx="0">
                  <c:v>Elevada</c:v>
                </c:pt>
                <c:pt idx="1">
                  <c:v>Alguna</c:v>
                </c:pt>
                <c:pt idx="2">
                  <c:v>Poca</c:v>
                </c:pt>
                <c:pt idx="3">
                  <c:v>Ninguna</c:v>
                </c:pt>
              </c:strCache>
            </c:strRef>
          </c:cat>
          <c:val>
            <c:numRef>
              <c:f>'Resultados Nacionales'!$E$28:$E$31</c:f>
              <c:numCache>
                <c:formatCode>0%</c:formatCode>
                <c:ptCount val="4"/>
                <c:pt idx="0">
                  <c:v>0.4527439024390244</c:v>
                </c:pt>
                <c:pt idx="1">
                  <c:v>0.21951219512195122</c:v>
                </c:pt>
                <c:pt idx="2">
                  <c:v>0.20121951219512196</c:v>
                </c:pt>
                <c:pt idx="3">
                  <c:v>0.12652439024390244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2-4144-9FF8-2CD7E522743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HN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HN"/>
              <a:t>7. ¿Sabe usted dónde y cómo presentar una queja en caso de que su derecho humano de acceso a la información pública es o fuera violado?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'Resultados Nacionales'!$B$32</c:f>
              <c:strCache>
                <c:ptCount val="1"/>
                <c:pt idx="0">
                  <c:v>Si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'Resultados Nacionales'!$E$32</c:f>
              <c:numCache>
                <c:formatCode>0%</c:formatCode>
                <c:ptCount val="1"/>
                <c:pt idx="0">
                  <c:v>0.58079268292682928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39-4C06-82D9-EA032AB82F88}"/>
            </c:ext>
          </c:extLst>
        </c:ser>
        <c:ser>
          <c:idx val="1"/>
          <c:order val="1"/>
          <c:tx>
            <c:strRef>
              <c:f>'Resultados Nacionales'!$B$33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'Resultados Nacionales'!$E$33</c:f>
              <c:numCache>
                <c:formatCode>0%</c:formatCode>
                <c:ptCount val="1"/>
                <c:pt idx="0">
                  <c:v>0.41920731707317072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39-4C06-82D9-EA032AB82F88}"/>
            </c:ext>
          </c:extLst>
        </c:ser>
        <c:ser>
          <c:idx val="2"/>
          <c:order val="2"/>
          <c:tx>
            <c:strRef>
              <c:f>'Resultados Nacionales'!$B$34</c:f>
              <c:strCache>
                <c:ptCount val="1"/>
                <c:pt idx="0">
                  <c:v>Blanco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'Resultados Nacionales'!$E$34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39-4C06-82D9-EA032AB82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0713728"/>
        <c:axId val="50715264"/>
        <c:axId val="0"/>
      </c:bar3DChart>
      <c:catAx>
        <c:axId val="50713728"/>
        <c:scaling>
          <c:orientation val="minMax"/>
        </c:scaling>
        <c:delete val="1"/>
        <c:axPos val="l"/>
        <c:majorTickMark val="none"/>
        <c:minorTickMark val="none"/>
        <c:tickLblPos val="none"/>
        <c:crossAx val="50715264"/>
        <c:crosses val="autoZero"/>
        <c:auto val="1"/>
        <c:lblAlgn val="ctr"/>
        <c:lblOffset val="100"/>
        <c:noMultiLvlLbl val="0"/>
      </c:catAx>
      <c:valAx>
        <c:axId val="50715264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50713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536575</xdr:colOff>
      <xdr:row>38</xdr:row>
      <xdr:rowOff>28574</xdr:rowOff>
    </xdr:from>
    <xdr:to>
      <xdr:col>2</xdr:col>
      <xdr:colOff>1085850</xdr:colOff>
      <xdr:row>55</xdr:row>
      <xdr:rowOff>171449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504824</xdr:colOff>
      <xdr:row>57</xdr:row>
      <xdr:rowOff>38100</xdr:rowOff>
    </xdr:from>
    <xdr:to>
      <xdr:col>2</xdr:col>
      <xdr:colOff>1333499</xdr:colOff>
      <xdr:row>76</xdr:row>
      <xdr:rowOff>19050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101599</xdr:colOff>
      <xdr:row>38</xdr:row>
      <xdr:rowOff>114300</xdr:rowOff>
    </xdr:from>
    <xdr:to>
      <xdr:col>13</xdr:col>
      <xdr:colOff>111125</xdr:colOff>
      <xdr:row>54</xdr:row>
      <xdr:rowOff>123826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758825</xdr:colOff>
      <xdr:row>39</xdr:row>
      <xdr:rowOff>31750</xdr:rowOff>
    </xdr:from>
    <xdr:to>
      <xdr:col>23</xdr:col>
      <xdr:colOff>206375</xdr:colOff>
      <xdr:row>53</xdr:row>
      <xdr:rowOff>107950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279400</xdr:colOff>
      <xdr:row>38</xdr:row>
      <xdr:rowOff>155575</xdr:rowOff>
    </xdr:from>
    <xdr:to>
      <xdr:col>33</xdr:col>
      <xdr:colOff>12700</xdr:colOff>
      <xdr:row>53</xdr:row>
      <xdr:rowOff>41275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387350</xdr:colOff>
      <xdr:row>84</xdr:row>
      <xdr:rowOff>82549</xdr:rowOff>
    </xdr:from>
    <xdr:to>
      <xdr:col>4</xdr:col>
      <xdr:colOff>158750</xdr:colOff>
      <xdr:row>99</xdr:row>
      <xdr:rowOff>168274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317500</xdr:colOff>
      <xdr:row>83</xdr:row>
      <xdr:rowOff>12700</xdr:rowOff>
    </xdr:from>
    <xdr:to>
      <xdr:col>13</xdr:col>
      <xdr:colOff>107950</xdr:colOff>
      <xdr:row>97</xdr:row>
      <xdr:rowOff>88900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38101</xdr:colOff>
      <xdr:row>80</xdr:row>
      <xdr:rowOff>38100</xdr:rowOff>
    </xdr:from>
    <xdr:to>
      <xdr:col>23</xdr:col>
      <xdr:colOff>19051</xdr:colOff>
      <xdr:row>98</xdr:row>
      <xdr:rowOff>76200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</xdr:col>
      <xdr:colOff>269875</xdr:colOff>
      <xdr:row>80</xdr:row>
      <xdr:rowOff>57150</xdr:rowOff>
    </xdr:from>
    <xdr:to>
      <xdr:col>33</xdr:col>
      <xdr:colOff>342900</xdr:colOff>
      <xdr:row>99</xdr:row>
      <xdr:rowOff>133350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565150</xdr:colOff>
      <xdr:row>123</xdr:row>
      <xdr:rowOff>171450</xdr:rowOff>
    </xdr:from>
    <xdr:to>
      <xdr:col>4</xdr:col>
      <xdr:colOff>38100</xdr:colOff>
      <xdr:row>142</xdr:row>
      <xdr:rowOff>133350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552450</xdr:colOff>
      <xdr:row>56</xdr:row>
      <xdr:rowOff>0</xdr:rowOff>
    </xdr:from>
    <xdr:to>
      <xdr:col>12</xdr:col>
      <xdr:colOff>152400</xdr:colOff>
      <xdr:row>78</xdr:row>
      <xdr:rowOff>76200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400050</xdr:colOff>
      <xdr:row>55</xdr:row>
      <xdr:rowOff>19050</xdr:rowOff>
    </xdr:from>
    <xdr:to>
      <xdr:col>23</xdr:col>
      <xdr:colOff>228600</xdr:colOff>
      <xdr:row>74</xdr:row>
      <xdr:rowOff>114300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24</xdr:col>
      <xdr:colOff>304800</xdr:colOff>
      <xdr:row>55</xdr:row>
      <xdr:rowOff>133350</xdr:rowOff>
    </xdr:from>
    <xdr:to>
      <xdr:col>33</xdr:col>
      <xdr:colOff>152400</xdr:colOff>
      <xdr:row>74</xdr:row>
      <xdr:rowOff>95250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400050</xdr:colOff>
      <xdr:row>100</xdr:row>
      <xdr:rowOff>152400</xdr:rowOff>
    </xdr:from>
    <xdr:to>
      <xdr:col>4</xdr:col>
      <xdr:colOff>152400</xdr:colOff>
      <xdr:row>120</xdr:row>
      <xdr:rowOff>171450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361950</xdr:colOff>
      <xdr:row>99</xdr:row>
      <xdr:rowOff>0</xdr:rowOff>
    </xdr:from>
    <xdr:to>
      <xdr:col>13</xdr:col>
      <xdr:colOff>247650</xdr:colOff>
      <xdr:row>119</xdr:row>
      <xdr:rowOff>57150</xdr:rowOff>
    </xdr:to>
    <xdr:graphicFrame macro="">
      <xdr:nvGraphicFramePr>
        <xdr:cNvPr id="21" name="2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114300</xdr:colOff>
      <xdr:row>100</xdr:row>
      <xdr:rowOff>133350</xdr:rowOff>
    </xdr:from>
    <xdr:to>
      <xdr:col>23</xdr:col>
      <xdr:colOff>76200</xdr:colOff>
      <xdr:row>119</xdr:row>
      <xdr:rowOff>57150</xdr:rowOff>
    </xdr:to>
    <xdr:graphicFrame macro="">
      <xdr:nvGraphicFramePr>
        <xdr:cNvPr id="22" name="2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25</xdr:col>
      <xdr:colOff>304800</xdr:colOff>
      <xdr:row>102</xdr:row>
      <xdr:rowOff>0</xdr:rowOff>
    </xdr:from>
    <xdr:to>
      <xdr:col>31</xdr:col>
      <xdr:colOff>76200</xdr:colOff>
      <xdr:row>116</xdr:row>
      <xdr:rowOff>76200</xdr:rowOff>
    </xdr:to>
    <xdr:graphicFrame macro="">
      <xdr:nvGraphicFramePr>
        <xdr:cNvPr id="23" name="2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533400</xdr:colOff>
      <xdr:row>145</xdr:row>
      <xdr:rowOff>0</xdr:rowOff>
    </xdr:from>
    <xdr:to>
      <xdr:col>4</xdr:col>
      <xdr:colOff>57150</xdr:colOff>
      <xdr:row>165</xdr:row>
      <xdr:rowOff>0</xdr:rowOff>
    </xdr:to>
    <xdr:graphicFrame macro="">
      <xdr:nvGraphicFramePr>
        <xdr:cNvPr id="24" name="2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"/>
  <sheetViews>
    <sheetView tabSelected="1" zoomScaleNormal="100" workbookViewId="0">
      <selection activeCell="B10" sqref="B10"/>
    </sheetView>
  </sheetViews>
  <sheetFormatPr baseColWidth="10" defaultRowHeight="15" x14ac:dyDescent="0.25"/>
  <cols>
    <col min="1" max="1" width="41" customWidth="1"/>
    <col min="2" max="3" width="27.85546875" customWidth="1"/>
    <col min="4" max="4" width="11.42578125" style="1" customWidth="1"/>
    <col min="6" max="6" width="16" customWidth="1"/>
    <col min="10" max="10" width="17.42578125" customWidth="1"/>
    <col min="14" max="14" width="16.28515625" customWidth="1"/>
    <col min="18" max="18" width="15.7109375" customWidth="1"/>
    <col min="24" max="24" width="15.42578125" customWidth="1"/>
    <col min="28" max="28" width="14.85546875" customWidth="1"/>
    <col min="34" max="34" width="15.140625" customWidth="1"/>
    <col min="38" max="38" width="15.7109375" customWidth="1"/>
  </cols>
  <sheetData>
    <row r="1" spans="1:43" x14ac:dyDescent="0.25">
      <c r="A1" s="116" t="s">
        <v>112</v>
      </c>
      <c r="B1" s="117"/>
      <c r="C1" s="117"/>
      <c r="D1" s="117"/>
      <c r="E1" s="118"/>
    </row>
    <row r="2" spans="1:43" x14ac:dyDescent="0.25">
      <c r="A2" s="114" t="s">
        <v>44</v>
      </c>
      <c r="B2" s="115"/>
      <c r="C2" s="40">
        <f>+Atlantida!W2+Colon!W2+Comayagua!W2+Copán!W2+Cortes!W2+Choluteca!W2+'El Paraíso'!W2+'Fco Morazan'!W2+'Gracias a Dios'!W2+Intibucá!W2+'Islas DLB'!W2+'La Paz'!W2+Lempira!W2+Ocotepeque!W2+Olancho!W2+'Santa Barbara'!W2+Valle!W2+Yoro!W2</f>
        <v>295</v>
      </c>
      <c r="D2" s="111" t="s">
        <v>113</v>
      </c>
      <c r="E2" s="37">
        <f>C2/$C$5</f>
        <v>0.44969512195121952</v>
      </c>
    </row>
    <row r="3" spans="1:43" x14ac:dyDescent="0.25">
      <c r="A3" s="114" t="s">
        <v>45</v>
      </c>
      <c r="B3" s="115"/>
      <c r="C3" s="40">
        <f>+Atlantida!W3+Colon!W3+Comayagua!W3+Copán!W3+Cortes!W3+Choluteca!W3+'El Paraíso'!W3+'Fco Morazan'!W3+'Gracias a Dios'!W3+Intibucá!W3+'Islas DLB'!W3+'La Paz'!W3+Lempira!W3+Ocotepeque!W3+Olancho!W3+'Santa Barbara'!W3+Valle!W3+Yoro!W3</f>
        <v>330</v>
      </c>
      <c r="D3" s="111"/>
      <c r="E3" s="37">
        <f t="shared" ref="E3:E4" si="0">C3/$C$5</f>
        <v>0.50304878048780488</v>
      </c>
    </row>
    <row r="4" spans="1:43" x14ac:dyDescent="0.25">
      <c r="A4" s="114" t="s">
        <v>29</v>
      </c>
      <c r="B4" s="115"/>
      <c r="C4" s="40">
        <f>+Atlantida!W4+Colon!W4+Comayagua!W4+Copán!W4+Cortes!W4+Choluteca!W4+'El Paraíso'!W4+'Fco Morazan'!W4+'Gracias a Dios'!W4+Intibucá!W4+'Islas DLB'!W4+'La Paz'!W4+Lempira!W4+Ocotepeque!W4+Olancho!W4+'Santa Barbara'!W4+Valle!W4+Yoro!W4</f>
        <v>31</v>
      </c>
      <c r="D4" s="111"/>
      <c r="E4" s="37">
        <f t="shared" si="0"/>
        <v>4.725609756097561E-2</v>
      </c>
    </row>
    <row r="5" spans="1:43" x14ac:dyDescent="0.25">
      <c r="A5" s="122" t="s">
        <v>47</v>
      </c>
      <c r="B5" s="123"/>
      <c r="C5" s="112">
        <f>+Atlantida!W5+Colon!W5+Comayagua!W5+Copán!W5+Cortes!W5+Choluteca!W5+'El Paraíso'!W5+'Fco Morazan'!W5+'Gracias a Dios'!W5+Intibucá!W5+'Islas DLB'!W5+'La Paz'!W5+Lempira!W5+Ocotepeque!W5+Olancho!W5+'Santa Barbara'!W5+Valle!W5+Yoro!W5</f>
        <v>656</v>
      </c>
      <c r="D5" s="112"/>
      <c r="E5" s="113"/>
    </row>
    <row r="6" spans="1:43" x14ac:dyDescent="0.25">
      <c r="A6" s="124" t="s">
        <v>3</v>
      </c>
      <c r="B6" s="40" t="s">
        <v>4</v>
      </c>
      <c r="C6" s="40">
        <f>Atlantida!W6+Colon!W6+Comayagua!W6+Copán!W6+Cortes!W6+Choluteca!W6+'El Paraíso'!W6+'Fco Morazan'!W6+'Gracias a Dios'!W6+Intibucá!W6+'Islas DLB'!W6+'La Paz'!W6+Lempira!W6+Ocotepeque!W6+Olancho!W6+'Santa Barbara'!W6+Valle!W6+Yoro!W6</f>
        <v>131</v>
      </c>
      <c r="D6" s="111" t="s">
        <v>113</v>
      </c>
      <c r="E6" s="37">
        <f>C6/$C$5</f>
        <v>0.19969512195121952</v>
      </c>
    </row>
    <row r="7" spans="1:43" x14ac:dyDescent="0.25">
      <c r="A7" s="124"/>
      <c r="B7" s="40" t="s">
        <v>5</v>
      </c>
      <c r="C7" s="40">
        <f>Atlantida!W7+Colon!W7+Comayagua!W7+Copán!W7+Cortes!W7+Choluteca!W7+'El Paraíso'!W7+'Fco Morazan'!W7+'Gracias a Dios'!W7+Intibucá!W7+'Islas DLB'!W7+'La Paz'!W7+Lempira!W7+Ocotepeque!W7+Olancho!W7+'Santa Barbara'!W7+Valle!W7+Yoro!W7</f>
        <v>93</v>
      </c>
      <c r="D7" s="111"/>
      <c r="E7" s="37">
        <f t="shared" ref="E7:E37" si="1">C7/$C$5</f>
        <v>0.14176829268292682</v>
      </c>
    </row>
    <row r="8" spans="1:43" x14ac:dyDescent="0.25">
      <c r="A8" s="124"/>
      <c r="B8" s="40" t="s">
        <v>6</v>
      </c>
      <c r="C8" s="40">
        <f>Atlantida!W8+Colon!W8+Comayagua!W8+Copán!W8+Cortes!W8+Choluteca!W8+'El Paraíso'!W8+'Fco Morazan'!W8+'Gracias a Dios'!W8+Intibucá!W8+'Islas DLB'!W8+'La Paz'!W8+Lempira!W8+Ocotepeque!W8+Olancho!W8+'Santa Barbara'!W8+Valle!W8+Yoro!W8</f>
        <v>92</v>
      </c>
      <c r="D8" s="111"/>
      <c r="E8" s="37">
        <f t="shared" si="1"/>
        <v>0.1402439024390244</v>
      </c>
    </row>
    <row r="9" spans="1:43" x14ac:dyDescent="0.25">
      <c r="A9" s="124"/>
      <c r="B9" s="40" t="s">
        <v>7</v>
      </c>
      <c r="C9" s="40">
        <f>Atlantida!W9+Colon!W9+Comayagua!W9+Copán!W9+Cortes!W9+Choluteca!W9+'El Paraíso'!W9+'Fco Morazan'!W9+'Gracias a Dios'!W9+Intibucá!W9+'Islas DLB'!W9+'La Paz'!W9+Lempira!W9+Ocotepeque!W9+Olancho!W9+'Santa Barbara'!W9+Valle!W9+Yoro!W9</f>
        <v>77</v>
      </c>
      <c r="D9" s="111"/>
      <c r="E9" s="37">
        <f t="shared" si="1"/>
        <v>0.1173780487804878</v>
      </c>
    </row>
    <row r="10" spans="1:43" x14ac:dyDescent="0.25">
      <c r="A10" s="124"/>
      <c r="B10" s="40" t="s">
        <v>8</v>
      </c>
      <c r="C10" s="40">
        <f>Atlantida!W10+Colon!W10+Comayagua!W10+Copán!W10+Cortes!W10+Choluteca!W10+'El Paraíso'!W10+'Fco Morazan'!W10+'Gracias a Dios'!W10+Intibucá!W10+'Islas DLB'!W10+'La Paz'!W10+Lempira!W10+Ocotepeque!W10+Olancho!W10+'Santa Barbara'!W10+Valle!W10+Yoro!W10</f>
        <v>90</v>
      </c>
      <c r="D10" s="111"/>
      <c r="E10" s="37">
        <f t="shared" si="1"/>
        <v>0.13719512195121952</v>
      </c>
    </row>
    <row r="11" spans="1:43" x14ac:dyDescent="0.25">
      <c r="A11" s="124"/>
      <c r="B11" s="40" t="s">
        <v>9</v>
      </c>
      <c r="C11" s="40">
        <f>Atlantida!W11+Colon!W11+Comayagua!W11+Copán!W11+Cortes!W11+Choluteca!W11+'El Paraíso'!W11+'Fco Morazan'!W11+'Gracias a Dios'!W11+Intibucá!W11+'Islas DLB'!W11+'La Paz'!W11+Lempira!W11+Ocotepeque!W11+Olancho!W11+'Santa Barbara'!W11+Valle!W11+Yoro!W11</f>
        <v>138</v>
      </c>
      <c r="D11" s="111"/>
      <c r="E11" s="37">
        <f t="shared" si="1"/>
        <v>0.21036585365853658</v>
      </c>
    </row>
    <row r="12" spans="1:43" ht="15.75" thickBot="1" x14ac:dyDescent="0.3">
      <c r="A12" s="124"/>
      <c r="B12" s="6" t="s">
        <v>29</v>
      </c>
      <c r="C12" s="40">
        <f>Atlantida!W12+Colon!W12+Comayagua!W12+Copán!W12+Cortes!W12+Choluteca!W12+'El Paraíso'!W12+'Fco Morazan'!W12+'Gracias a Dios'!W12+Intibucá!W12+'Islas DLB'!W12+'La Paz'!W12+Lempira!W12+Ocotepeque!W12+Olancho!W12+'Santa Barbara'!W12+Valle!W12+Yoro!W12</f>
        <v>35</v>
      </c>
      <c r="D12" s="111"/>
      <c r="E12" s="37">
        <f t="shared" si="1"/>
        <v>5.3353658536585365E-2</v>
      </c>
    </row>
    <row r="13" spans="1:43" ht="15.75" thickBot="1" x14ac:dyDescent="0.3">
      <c r="A13" s="109" t="s">
        <v>36</v>
      </c>
      <c r="B13" s="9" t="s">
        <v>20</v>
      </c>
      <c r="C13" s="106">
        <f>Atlantida!W19+Colon!W19+Comayagua!W19+Copán!W16+Cortes!W19+Choluteca!W16+'El Paraíso'!W16+'Fco Morazan'!W19+'Gracias a Dios'!W19+Intibucá!W16+'Islas DLB'!W19+'La Paz'!W16+Lempira!W16+Ocotepeque!W19+Olancho!W19+'Santa Barbara'!W16+Valle!W19+Yoro!W16</f>
        <v>391</v>
      </c>
      <c r="D13" s="107" t="s">
        <v>113</v>
      </c>
      <c r="E13" s="37">
        <f t="shared" si="1"/>
        <v>0.59603658536585369</v>
      </c>
      <c r="F13" s="119" t="s">
        <v>118</v>
      </c>
      <c r="G13" s="48" t="s">
        <v>114</v>
      </c>
      <c r="H13" s="49">
        <f>Atlantida!Z19+Colon!Z19+Comayagua!Z19+Copán!Z16+Cortes!Z19+Choluteca!Z16+'El Paraíso'!Z16+'Fco Morazan'!Z19+'Gracias a Dios'!Z19+Intibucá!Z16+'Islas DLB'!Z19+'La Paz'!Z16+Lempira!Z16+Ocotepeque!Z19+Olancho!Z19+'Santa Barbara'!Z16+Valle!Z19+Yoro!Z16</f>
        <v>178</v>
      </c>
      <c r="I13" s="84">
        <f>H13/$C$13</f>
        <v>0.45524296675191817</v>
      </c>
      <c r="J13" s="125" t="s">
        <v>117</v>
      </c>
      <c r="K13" s="48" t="s">
        <v>114</v>
      </c>
      <c r="L13" s="49">
        <f>Atlantida!AC19+Colon!AC19+Comayagua!AC19+Copán!AC16+Cortes!AC19+Choluteca!AC16+'El Paraíso'!AC16+'Fco Morazan'!AC19+'Gracias a Dios'!AC19+Intibucá!AC16+'Islas DLB'!AC19+'La Paz'!AC16+Lempira!AC16+Ocotepeque!AC19+Olancho!AC19+'Santa Barbara'!AC16+Valle!AC19+Yoro!AC16</f>
        <v>117</v>
      </c>
      <c r="M13" s="84">
        <f>L13/$C$14</f>
        <v>0.44318181818181818</v>
      </c>
      <c r="N13" s="125" t="s">
        <v>118</v>
      </c>
      <c r="O13" s="48" t="s">
        <v>4</v>
      </c>
      <c r="P13" s="55">
        <f>Atlantida!AF19+Colon!AF19+Comayagua!AF19+Copán!AF16+Cortes!AF19+Choluteca!AF16+'El Paraíso'!AF16+'Fco Morazan'!AF19+'Gracias a Dios'!AF19+Intibucá!AF16+'Islas DLB'!AF19+'La Paz'!AF16+Lempira!AF16+Ocotepeque!AF19+Olancho!AF19+'Santa Barbara'!AF16+Valle!AF19+Yoro!AF16</f>
        <v>84</v>
      </c>
      <c r="Q13" s="88">
        <f>P13/$C$13</f>
        <v>0.21483375959079284</v>
      </c>
      <c r="R13" s="56" t="s">
        <v>7</v>
      </c>
      <c r="S13" s="55">
        <f>Atlantida!AH19+Colon!AH19+Comayagua!AH19+Copán!AH16+Cortes!AH19+Choluteca!AH16+'El Paraíso'!AH16+'Fco Morazan'!AH19+'Gracias a Dios'!AH19+Intibucá!AH16+'Islas DLB'!AH19+'La Paz'!AH16+Lempira!AH16+Ocotepeque!AH19+Olancho!AH19+'Santa Barbara'!AH16+Valle!AH19+Yoro!AH16</f>
        <v>44</v>
      </c>
      <c r="T13" s="88">
        <f>S13/$C$13</f>
        <v>0.11253196930946291</v>
      </c>
      <c r="U13" s="56" t="s">
        <v>29</v>
      </c>
      <c r="V13" s="55">
        <f>Atlantida!AJ19+Colon!AJ19+Comayagua!AJ19+Copán!AJ16+Cortes!AJ19+Choluteca!AJ16+'El Paraíso'!AJ16+'Fco Morazan'!AJ19+'Gracias a Dios'!AJ19+Intibucá!AJ16+'Islas DLB'!AJ19+'La Paz'!AJ16+Lempira!AJ16+Ocotepeque!AJ19+Olancho!AJ19+'Santa Barbara'!AJ16+Valle!AJ19+Yoro!AJ16</f>
        <v>24</v>
      </c>
      <c r="W13" s="88">
        <f>V13/$C$13</f>
        <v>6.1381074168797956E-2</v>
      </c>
      <c r="X13" s="50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57"/>
      <c r="AQ13" s="4"/>
    </row>
    <row r="14" spans="1:43" ht="15.75" thickBot="1" x14ac:dyDescent="0.3">
      <c r="A14" s="109"/>
      <c r="B14" s="9" t="s">
        <v>25</v>
      </c>
      <c r="C14" s="40">
        <f>Atlantida!W20+Colon!W20+Comayagua!W20+Copán!W17+Cortes!W20+Choluteca!W17+'El Paraíso'!W17+'Fco Morazan'!W20+'Gracias a Dios'!W20+Intibucá!W17+'Islas DLB'!W20+'La Paz'!W17+Lempira!W17+Ocotepeque!W20+Olancho!W20+'Santa Barbara'!W17+Valle!W20+Yoro!W17</f>
        <v>264</v>
      </c>
      <c r="D14" s="107"/>
      <c r="E14" s="37">
        <f t="shared" si="1"/>
        <v>0.40243902439024393</v>
      </c>
      <c r="F14" s="120"/>
      <c r="G14" s="6" t="s">
        <v>115</v>
      </c>
      <c r="H14" s="51">
        <f>Atlantida!Z20+Colon!Z20+Comayagua!Z20+Copán!Z17+Cortes!Z20+Choluteca!Z17+'El Paraíso'!Z17+'Fco Morazan'!Z20+'Gracias a Dios'!Z20+Intibucá!Z17+'Islas DLB'!Z20+'La Paz'!Z17+Lempira!Z17+Ocotepeque!Z20+Olancho!Z20+'Santa Barbara'!Z17+Valle!Z20+Yoro!Z17</f>
        <v>194</v>
      </c>
      <c r="I14" s="84">
        <f t="shared" ref="I14:I15" si="2">H14/$C$13</f>
        <v>0.49616368286445012</v>
      </c>
      <c r="J14" s="126"/>
      <c r="K14" s="6" t="s">
        <v>115</v>
      </c>
      <c r="L14" s="51">
        <f>Atlantida!AC20+Colon!AC20+Comayagua!AC20+Copán!AC17+Cortes!AC20+Choluteca!AC17+'El Paraíso'!AC17+'Fco Morazan'!AC20+'Gracias a Dios'!AC20+Intibucá!AC17+'Islas DLB'!AC20+'La Paz'!AC17+Lempira!AC17+Ocotepeque!AC20+Olancho!AC20+'Santa Barbara'!AC17+Valle!AC20+Yoro!AC17</f>
        <v>135</v>
      </c>
      <c r="M14" s="84">
        <f t="shared" ref="M14:M15" si="3">L14/$C$14</f>
        <v>0.51136363636363635</v>
      </c>
      <c r="N14" s="126"/>
      <c r="O14" s="6" t="s">
        <v>5</v>
      </c>
      <c r="P14" s="57">
        <f>Atlantida!AF20+Colon!AF20+Comayagua!AF20+Copán!AF17+Cortes!AF20+Choluteca!AF17+'El Paraíso'!AF17+'Fco Morazan'!AF20+'Gracias a Dios'!AF20+Intibucá!AF17+'Islas DLB'!AF20+'La Paz'!AF17+Lempira!AF17+Ocotepeque!AF20+Olancho!AF20+'Santa Barbara'!AF17+Valle!AF20+Yoro!AF17</f>
        <v>53</v>
      </c>
      <c r="Q14" s="88">
        <f t="shared" ref="Q14:Q15" si="4">P14/$C$13</f>
        <v>0.13554987212276215</v>
      </c>
      <c r="R14" s="76" t="s">
        <v>8</v>
      </c>
      <c r="S14" s="57">
        <f>Atlantida!AH20+Colon!AH20+Comayagua!AH20+Copán!AH17+Cortes!AH20+Choluteca!AH17+'El Paraíso'!AH17+'Fco Morazan'!AH20+'Gracias a Dios'!AH20+Intibucá!AH17+'Islas DLB'!AH20+'La Paz'!AH17+Lempira!AH17+Ocotepeque!AH20+Olancho!AH20+'Santa Barbara'!AH17+Valle!AH20+Yoro!AH17</f>
        <v>51</v>
      </c>
      <c r="T14" s="88">
        <f t="shared" ref="T14:T15" si="5">S14/$C$13</f>
        <v>0.13043478260869565</v>
      </c>
      <c r="U14" s="50"/>
      <c r="V14" s="57"/>
      <c r="W14" s="89"/>
      <c r="X14" s="50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57"/>
      <c r="AQ14" s="4"/>
    </row>
    <row r="15" spans="1:43" ht="15.75" thickBot="1" x14ac:dyDescent="0.3">
      <c r="A15" s="109"/>
      <c r="B15" s="9" t="s">
        <v>29</v>
      </c>
      <c r="C15" s="40">
        <f>Atlantida!W21+Colon!W21+Comayagua!W21+Copán!W18+Cortes!W21+Choluteca!W18+'El Paraíso'!W18+'Fco Morazan'!W21+'Gracias a Dios'!W21+Intibucá!W18+'Islas DLB'!W21+'La Paz'!W18+Lempira!W18+Ocotepeque!W21+Olancho!W21+'Santa Barbara'!W18+Valle!W21+Yoro!W18</f>
        <v>1</v>
      </c>
      <c r="D15" s="107"/>
      <c r="E15" s="37">
        <f t="shared" si="1"/>
        <v>1.5243902439024391E-3</v>
      </c>
      <c r="F15" s="121"/>
      <c r="G15" s="26" t="s">
        <v>29</v>
      </c>
      <c r="H15" s="52">
        <f>Atlantida!Z21+Colon!Z21+Comayagua!Z21+Copán!Z18+Cortes!Z21+Choluteca!Z18+'El Paraíso'!Z18+'Fco Morazan'!Z21+'Gracias a Dios'!Z21+Intibucá!Z18+'Islas DLB'!Z21+'La Paz'!Z18+Lempira!Z18+Ocotepeque!Z21+Olancho!Z21+'Santa Barbara'!Z18+Valle!Z21+Yoro!Z18</f>
        <v>19</v>
      </c>
      <c r="I15" s="84">
        <f t="shared" si="2"/>
        <v>4.859335038363171E-2</v>
      </c>
      <c r="J15" s="127"/>
      <c r="K15" s="26" t="s">
        <v>29</v>
      </c>
      <c r="L15" s="52">
        <f>Atlantida!AC21+Colon!AC21+Comayagua!AC21+Copán!AC18+Cortes!AC21+Choluteca!AC18+'El Paraíso'!AC18+'Fco Morazan'!AC21+'Gracias a Dios'!AC21+Intibucá!AC18+'Islas DLB'!AC21+'La Paz'!AC18+Lempira!AC18+Ocotepeque!AC21+Olancho!AC21+'Santa Barbara'!AC18+Valle!AC21+Yoro!AC18</f>
        <v>12</v>
      </c>
      <c r="M15" s="84">
        <f t="shared" si="3"/>
        <v>4.5454545454545456E-2</v>
      </c>
      <c r="N15" s="127"/>
      <c r="O15" s="26" t="s">
        <v>6</v>
      </c>
      <c r="P15" s="58">
        <f>Atlantida!AF21+Colon!AF21+Comayagua!AF21+Copán!AF18+Cortes!AF21+Choluteca!AF18+'El Paraíso'!AF18+'Fco Morazan'!AF21+'Gracias a Dios'!AF21+Intibucá!AF18+'Islas DLB'!AF21+'La Paz'!AF18+Lempira!AF18+Ocotepeque!AF21+Olancho!AF21+'Santa Barbara'!AF18+Valle!AF21+Yoro!AF18</f>
        <v>53</v>
      </c>
      <c r="Q15" s="88">
        <f t="shared" si="4"/>
        <v>0.13554987212276215</v>
      </c>
      <c r="R15" s="59" t="s">
        <v>9</v>
      </c>
      <c r="S15" s="58">
        <f>Atlantida!AH21+Colon!AH21+Comayagua!AH21+Copán!AH18+Cortes!AH21+Choluteca!AH18+'El Paraíso'!AH18+'Fco Morazan'!AH21+'Gracias a Dios'!AH21+Intibucá!AH18+'Islas DLB'!AH21+'La Paz'!AH18+Lempira!AH18+Ocotepeque!AH21+Olancho!AH21+'Santa Barbara'!AH18+Valle!AH21+Yoro!AH18</f>
        <v>82</v>
      </c>
      <c r="T15" s="88">
        <f t="shared" si="5"/>
        <v>0.20971867007672634</v>
      </c>
      <c r="U15" s="59"/>
      <c r="V15" s="58"/>
      <c r="W15" s="90"/>
      <c r="X15" s="50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57"/>
      <c r="AQ15" s="4"/>
    </row>
    <row r="16" spans="1:43" ht="15.75" thickBot="1" x14ac:dyDescent="0.3">
      <c r="A16" s="109" t="s">
        <v>37</v>
      </c>
      <c r="B16" s="9" t="s">
        <v>20</v>
      </c>
      <c r="C16" s="40">
        <f>Atlantida!W22+Colon!W22+Comayagua!W22+Copán!W19+Cortes!W22+Choluteca!W19+'El Paraíso'!W19+'Fco Morazan'!W22+'Gracias a Dios'!W22+Intibucá!W19+'Islas DLB'!W22+'La Paz'!W19+Lempira!W19+Ocotepeque!W22+Olancho!W22+'Santa Barbara'!W19+Valle!W22+Yoro!W19</f>
        <v>420</v>
      </c>
      <c r="D16" s="107" t="s">
        <v>113</v>
      </c>
      <c r="E16" s="37">
        <f t="shared" si="1"/>
        <v>0.6402439024390244</v>
      </c>
      <c r="F16" s="119" t="s">
        <v>118</v>
      </c>
      <c r="G16" s="48" t="s">
        <v>114</v>
      </c>
      <c r="H16" s="49">
        <f>Atlantida!Z22+Colon!Z22+Comayagua!Z22+Copán!Z19+Cortes!Z22+Choluteca!Z19+'El Paraíso'!Z19+'Fco Morazan'!Z22+'Gracias a Dios'!Z22+Intibucá!Z19+'Islas DLB'!Z22+'La Paz'!Z19+Lempira!Z19+Ocotepeque!Z22+Olancho!Z22+'Santa Barbara'!Z19+Valle!Z22+Yoro!Z19</f>
        <v>204</v>
      </c>
      <c r="I16" s="84">
        <f>H16/$C$16</f>
        <v>0.48571428571428571</v>
      </c>
      <c r="J16" s="125" t="s">
        <v>117</v>
      </c>
      <c r="K16" s="48" t="s">
        <v>114</v>
      </c>
      <c r="L16" s="49">
        <f>Atlantida!AC22+Colon!AC22+Comayagua!AC22+Copán!AC19+Cortes!AC22+Choluteca!AC19+'El Paraíso'!AC19+'Fco Morazan'!AC22+'Gracias a Dios'!AC22+Intibucá!AC19+'Islas DLB'!AC22+'La Paz'!AC19+Lempira!AC19+Ocotepeque!AC22+Olancho!AC22+'Santa Barbara'!AC19+Valle!AC22+Yoro!AC19</f>
        <v>90</v>
      </c>
      <c r="M16" s="84">
        <f>L16/$C$17</f>
        <v>0.38626609442060084</v>
      </c>
      <c r="N16" s="125" t="s">
        <v>118</v>
      </c>
      <c r="O16" s="48" t="s">
        <v>4</v>
      </c>
      <c r="P16" s="55">
        <f>Atlantida!AF22+Colon!AF22+Comayagua!AF22+Copán!AF19+Cortes!AF22+Choluteca!AF19+'El Paraíso'!AF19+'Fco Morazan'!AF22+'Gracias a Dios'!AF22+Intibucá!AF19+'Islas DLB'!AF22+'La Paz'!AF19+Lempira!AF19+Ocotepeque!AF22+Olancho!AF22+'Santa Barbara'!AF19+Valle!AF22+Yoro!AF19</f>
        <v>89</v>
      </c>
      <c r="Q16" s="88">
        <f>P16/$C$16</f>
        <v>0.2119047619047619</v>
      </c>
      <c r="R16" s="56" t="s">
        <v>7</v>
      </c>
      <c r="S16" s="55">
        <f>Atlantida!AH22+Colon!AH22+Comayagua!AH22+Copán!AH19+Cortes!AH22+Choluteca!AH19+'El Paraíso'!AH19+'Fco Morazan'!AH22+'Gracias a Dios'!AH22+Intibucá!AH19+'Islas DLB'!AH22+'La Paz'!AH19+Lempira!AH19+Ocotepeque!AH22+Olancho!AH22+'Santa Barbara'!AH19+Valle!AH22+Yoro!AH19</f>
        <v>49</v>
      </c>
      <c r="T16" s="88">
        <f>S16/$C$16</f>
        <v>0.11666666666666667</v>
      </c>
      <c r="U16" s="56" t="s">
        <v>29</v>
      </c>
      <c r="V16" s="55">
        <f>Atlantida!AJ22+Colon!AJ22+Comayagua!AJ22+Copán!AJ19+Cortes!AJ22+Choluteca!AJ19+'El Paraíso'!AJ19+'Fco Morazan'!AJ22+'Gracias a Dios'!AJ22+Intibucá!AJ19+'Islas DLB'!AJ22+'La Paz'!AJ19+Lempira!AJ19+Ocotepeque!AJ22+Olancho!AJ22+'Santa Barbara'!AJ19+Valle!AJ22+Yoro!AJ19</f>
        <v>23</v>
      </c>
      <c r="W16" s="88">
        <f>V16/$C$16</f>
        <v>5.4761904761904762E-2</v>
      </c>
      <c r="X16" s="50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57"/>
      <c r="AQ16" s="4"/>
    </row>
    <row r="17" spans="1:43" ht="15.75" thickBot="1" x14ac:dyDescent="0.3">
      <c r="A17" s="109"/>
      <c r="B17" s="9" t="s">
        <v>25</v>
      </c>
      <c r="C17" s="40">
        <f>Atlantida!W23+Colon!W23+Comayagua!W23+Copán!W20+Cortes!W23+Choluteca!W20+'El Paraíso'!W20+'Fco Morazan'!W23+'Gracias a Dios'!W23+Intibucá!W20+'Islas DLB'!W23+'La Paz'!W20+Lempira!W20+Ocotepeque!W23+Olancho!W23+'Santa Barbara'!W20+Valle!W23+Yoro!W20</f>
        <v>233</v>
      </c>
      <c r="D17" s="107"/>
      <c r="E17" s="37">
        <f t="shared" si="1"/>
        <v>0.35518292682926828</v>
      </c>
      <c r="F17" s="120"/>
      <c r="G17" s="6" t="s">
        <v>115</v>
      </c>
      <c r="H17" s="51">
        <f>Atlantida!Z23+Colon!Z23+Comayagua!Z23+Copán!Z20+Cortes!Z23+Choluteca!Z20+'El Paraíso'!Z20+'Fco Morazan'!Z23+'Gracias a Dios'!Z23+Intibucá!Z20+'Islas DLB'!Z23+'La Paz'!Z20+Lempira!Z20+Ocotepeque!Z23+Olancho!Z23+'Santa Barbara'!Z20+Valle!Z23+Yoro!Z20</f>
        <v>197</v>
      </c>
      <c r="I17" s="84">
        <f t="shared" ref="I17:I18" si="6">H17/$C$16</f>
        <v>0.46904761904761905</v>
      </c>
      <c r="J17" s="126"/>
      <c r="K17" s="6" t="s">
        <v>115</v>
      </c>
      <c r="L17" s="51">
        <f>Atlantida!AC23+Colon!AC23+Comayagua!AC23+Copán!AC20+Cortes!AC23+Choluteca!AC20+'El Paraíso'!AC20+'Fco Morazan'!AC23+'Gracias a Dios'!AC23+Intibucá!AC20+'Islas DLB'!AC23+'La Paz'!AC20+Lempira!AC20+Ocotepeque!AC23+Olancho!AC23+'Santa Barbara'!AC20+Valle!AC23+Yoro!AC20</f>
        <v>131</v>
      </c>
      <c r="M17" s="84">
        <f t="shared" ref="M17:M18" si="7">L17/$C$17</f>
        <v>0.5622317596566524</v>
      </c>
      <c r="N17" s="126"/>
      <c r="O17" s="6" t="s">
        <v>5</v>
      </c>
      <c r="P17" s="57">
        <f>Atlantida!AF23+Colon!AF23+Comayagua!AF23+Copán!AF20+Cortes!AF23+Choluteca!AF20+'El Paraíso'!AF20+'Fco Morazan'!AF23+'Gracias a Dios'!AF23+Intibucá!AF20+'Islas DLB'!AF23+'La Paz'!AF20+Lempira!AF20+Ocotepeque!AF23+Olancho!AF23+'Santa Barbara'!AF20+Valle!AF23+Yoro!AF20</f>
        <v>53</v>
      </c>
      <c r="Q17" s="88">
        <f t="shared" ref="Q17:Q18" si="8">P17/$C$16</f>
        <v>0.12619047619047619</v>
      </c>
      <c r="R17" s="76" t="s">
        <v>8</v>
      </c>
      <c r="S17" s="57">
        <f>Atlantida!AH23+Colon!AH23+Comayagua!AH23+Copán!AH20+Cortes!AH23+Choluteca!AH20+'El Paraíso'!AH20+'Fco Morazan'!AH23+'Gracias a Dios'!AH23+Intibucá!AH20+'Islas DLB'!AH23+'La Paz'!AH20+Lempira!AH20+Ocotepeque!AH23+Olancho!AH23+'Santa Barbara'!AH20+Valle!AH23+Yoro!AH20</f>
        <v>49</v>
      </c>
      <c r="T17" s="88">
        <f t="shared" ref="T17:T18" si="9">S17/$C$16</f>
        <v>0.11666666666666667</v>
      </c>
      <c r="U17" s="50"/>
      <c r="V17" s="57"/>
      <c r="W17" s="89"/>
      <c r="X17" s="50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57"/>
      <c r="AQ17" s="4"/>
    </row>
    <row r="18" spans="1:43" ht="15.75" thickBot="1" x14ac:dyDescent="0.3">
      <c r="A18" s="109"/>
      <c r="B18" s="9" t="s">
        <v>29</v>
      </c>
      <c r="C18" s="40">
        <f>Atlantida!W24+Colon!W24+Comayagua!W24+Copán!W21+Cortes!W24+Choluteca!W21+'El Paraíso'!W21+'Fco Morazan'!W24+'Gracias a Dios'!W24+Intibucá!W21+'Islas DLB'!W24+'La Paz'!W21+Lempira!W21+Ocotepeque!W24+Olancho!W24+'Santa Barbara'!W21+Valle!W24+Yoro!W21</f>
        <v>3</v>
      </c>
      <c r="D18" s="107"/>
      <c r="E18" s="37">
        <f t="shared" si="1"/>
        <v>4.5731707317073168E-3</v>
      </c>
      <c r="F18" s="121"/>
      <c r="G18" s="26" t="s">
        <v>29</v>
      </c>
      <c r="H18" s="52">
        <f>Atlantida!Z24+Colon!Z24+Comayagua!Z24+Copán!Z21+Cortes!Z24+Choluteca!Z21+'El Paraíso'!Z21+'Fco Morazan'!Z24+'Gracias a Dios'!Z24+Intibucá!Z21+'Islas DLB'!Z24+'La Paz'!Z21+Lempira!Z21+Ocotepeque!Z24+Olancho!Z24+'Santa Barbara'!Z21+Valle!Z24+Yoro!Z21</f>
        <v>19</v>
      </c>
      <c r="I18" s="84">
        <f t="shared" si="6"/>
        <v>4.5238095238095237E-2</v>
      </c>
      <c r="J18" s="127"/>
      <c r="K18" s="26" t="s">
        <v>29</v>
      </c>
      <c r="L18" s="52">
        <f>Atlantida!AC24+Colon!AC24+Comayagua!AC24+Copán!AC21+Cortes!AC24+Choluteca!AC21+'El Paraíso'!AC21+'Fco Morazan'!AC24+'Gracias a Dios'!AC24+Intibucá!AC21+'Islas DLB'!AC24+'La Paz'!AC21+Lempira!AC21+Ocotepeque!AC24+Olancho!AC24+'Santa Barbara'!AC21+Valle!AC24+Yoro!AC21</f>
        <v>12</v>
      </c>
      <c r="M18" s="84">
        <f t="shared" si="7"/>
        <v>5.1502145922746781E-2</v>
      </c>
      <c r="N18" s="127"/>
      <c r="O18" s="26" t="s">
        <v>6</v>
      </c>
      <c r="P18" s="58">
        <f>Atlantida!AF24+Colon!AF24+Comayagua!AF24+Copán!AF21+Cortes!AF24+Choluteca!AF21+'El Paraíso'!AF21+'Fco Morazan'!AF24+'Gracias a Dios'!AF24+Intibucá!AF21+'Islas DLB'!AF24+'La Paz'!AF21+Lempira!AF21+Ocotepeque!AF24+Olancho!AF24+'Santa Barbara'!AF21+Valle!AF24+Yoro!AF21</f>
        <v>55</v>
      </c>
      <c r="Q18" s="88">
        <f t="shared" si="8"/>
        <v>0.13095238095238096</v>
      </c>
      <c r="R18" s="59" t="s">
        <v>9</v>
      </c>
      <c r="S18" s="58">
        <f>Atlantida!AH24+Colon!AH24+Comayagua!AH24+Copán!AH21+Cortes!AH24+Choluteca!AH21+'El Paraíso'!AH21+'Fco Morazan'!AH24+'Gracias a Dios'!AH24+Intibucá!AH21+'Islas DLB'!AH24+'La Paz'!AH21+Lempira!AH21+Ocotepeque!AH24+Olancho!AH24+'Santa Barbara'!AH21+Valle!AH24+Yoro!AH21</f>
        <v>102</v>
      </c>
      <c r="T18" s="88">
        <f t="shared" si="9"/>
        <v>0.24285714285714285</v>
      </c>
      <c r="U18" s="59"/>
      <c r="V18" s="58"/>
      <c r="W18" s="90"/>
      <c r="X18" s="50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57"/>
      <c r="AQ18" s="4"/>
    </row>
    <row r="19" spans="1:43" ht="15.75" thickBot="1" x14ac:dyDescent="0.3">
      <c r="A19" s="109" t="s">
        <v>38</v>
      </c>
      <c r="B19" s="9" t="s">
        <v>20</v>
      </c>
      <c r="C19" s="40">
        <f>Atlantida!W25+Colon!W25+Comayagua!W25+Copán!W22+Cortes!W25+Choluteca!W22+'El Paraíso'!W22+'Fco Morazan'!W25+'Gracias a Dios'!W25+Intibucá!W22+'Islas DLB'!W25+'La Paz'!W22+Lempira!W22+Ocotepeque!W25+Olancho!W25+'Santa Barbara'!W22+Valle!W25+Yoro!W22</f>
        <v>176</v>
      </c>
      <c r="D19" s="107" t="s">
        <v>113</v>
      </c>
      <c r="E19" s="37">
        <f t="shared" si="1"/>
        <v>0.26829268292682928</v>
      </c>
      <c r="F19" s="119" t="s">
        <v>118</v>
      </c>
      <c r="G19" s="48" t="s">
        <v>114</v>
      </c>
      <c r="H19" s="49">
        <f>Atlantida!Z25+Colon!Z25+Comayagua!Z25+Copán!Z22+Cortes!Z25+Choluteca!Z22+'El Paraíso'!Z22+'Fco Morazan'!Z25+'Gracias a Dios'!Z25+Intibucá!Z22+'Islas DLB'!Z25+'La Paz'!Z22+Lempira!Z22+Ocotepeque!Z25+Olancho!Z25+'Santa Barbara'!Z22+Valle!Z25+Yoro!Z22</f>
        <v>78</v>
      </c>
      <c r="I19" s="84">
        <f>H19/$C$19</f>
        <v>0.44318181818181818</v>
      </c>
      <c r="J19" s="125" t="s">
        <v>117</v>
      </c>
      <c r="K19" s="48" t="s">
        <v>114</v>
      </c>
      <c r="L19" s="49">
        <f>Atlantida!AC25+Colon!AC25+Comayagua!AC25+Copán!AC22+Cortes!AC25+Choluteca!AC22+'El Paraíso'!AC22+'Fco Morazan'!AC25+'Gracias a Dios'!AC25+Intibucá!AC22+'Islas DLB'!AC25+'La Paz'!AC22+Lempira!AC22+Ocotepeque!AC25+Olancho!AC25+'Santa Barbara'!AC22+Valle!AC25+Yoro!AC22</f>
        <v>217</v>
      </c>
      <c r="M19" s="84">
        <f>L19/$C$20</f>
        <v>0.45492662473794548</v>
      </c>
      <c r="N19" s="125" t="s">
        <v>117</v>
      </c>
      <c r="O19" s="48" t="s">
        <v>4</v>
      </c>
      <c r="P19" s="55">
        <f>Atlantida!AF25+Colon!AF25+Comayagua!AF25+Copán!AF22+Cortes!AF25+Choluteca!AF22+'El Paraíso'!AF22+'Fco Morazan'!AF25+'Gracias a Dios'!AF25+Intibucá!AF22+'Islas DLB'!AF25+'La Paz'!AF22+Lempira!AF22+Ocotepeque!AF25+Olancho!AF25+'Santa Barbara'!AF22+Valle!AF25+Yoro!AF22</f>
        <v>104</v>
      </c>
      <c r="Q19" s="88">
        <f>P19/$C$20</f>
        <v>0.2180293501048218</v>
      </c>
      <c r="R19" s="56" t="s">
        <v>7</v>
      </c>
      <c r="S19" s="55">
        <f>Atlantida!AH25+Colon!AH25+Comayagua!AH25+Copán!AH22+Cortes!AH25+Choluteca!AH22+'El Paraíso'!AH22+'Fco Morazan'!AH25+'Gracias a Dios'!AH25+Intibucá!AH22+'Islas DLB'!AH25+'La Paz'!AH22+Lempira!AH22+Ocotepeque!AH25+Olancho!AH25+'Santa Barbara'!AH22+Valle!AH25+Yoro!AH22</f>
        <v>57</v>
      </c>
      <c r="T19" s="88">
        <f>S19/$C$20</f>
        <v>0.11949685534591195</v>
      </c>
      <c r="U19" s="56" t="s">
        <v>29</v>
      </c>
      <c r="V19" s="55">
        <f>Atlantida!AJ25+Colon!AJ25+Comayagua!AJ25+Copán!AJ22+Cortes!AJ25+Choluteca!AJ22+'El Paraíso'!AJ22+'Fco Morazan'!AJ25+'Gracias a Dios'!AJ25+Intibucá!AJ22+'Islas DLB'!AJ25+'La Paz'!AJ22+Lempira!AJ22+Ocotepeque!AJ25+Olancho!AJ25+'Santa Barbara'!AJ22+Valle!AJ25+Yoro!AJ22</f>
        <v>21</v>
      </c>
      <c r="W19" s="88">
        <f>V19/$C$20</f>
        <v>4.40251572327044E-2</v>
      </c>
      <c r="X19" s="50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57"/>
      <c r="AQ19" s="4"/>
    </row>
    <row r="20" spans="1:43" ht="15.75" thickBot="1" x14ac:dyDescent="0.3">
      <c r="A20" s="109"/>
      <c r="B20" s="9" t="s">
        <v>25</v>
      </c>
      <c r="C20" s="40">
        <f>Atlantida!W26+Colon!W26+Comayagua!W26+Copán!W23+Cortes!W26+Choluteca!W23+'El Paraíso'!W23+'Fco Morazan'!W26+'Gracias a Dios'!W26+Intibucá!W23+'Islas DLB'!W26+'La Paz'!W23+Lempira!W23+Ocotepeque!W26+Olancho!W26+'Santa Barbara'!W23+Valle!W26+Yoro!W23</f>
        <v>477</v>
      </c>
      <c r="D20" s="107"/>
      <c r="E20" s="37">
        <f t="shared" si="1"/>
        <v>0.72713414634146345</v>
      </c>
      <c r="F20" s="120"/>
      <c r="G20" s="6" t="s">
        <v>115</v>
      </c>
      <c r="H20" s="51">
        <f>Atlantida!Z26+Colon!Z26+Comayagua!Z26+Copán!Z23+Cortes!Z26+Choluteca!Z23+'El Paraíso'!Z23+'Fco Morazan'!Z26+'Gracias a Dios'!Z26+Intibucá!Z23+'Islas DLB'!Z26+'La Paz'!Z23+Lempira!Z23+Ocotepeque!Z26+Olancho!Z26+'Santa Barbara'!Z23+Valle!Z26+Yoro!Z23</f>
        <v>89</v>
      </c>
      <c r="I20" s="84">
        <f t="shared" ref="I20:I21" si="10">H20/$C$19</f>
        <v>0.50568181818181823</v>
      </c>
      <c r="J20" s="126"/>
      <c r="K20" s="6" t="s">
        <v>115</v>
      </c>
      <c r="L20" s="51">
        <f>Atlantida!AC26+Colon!AC26+Comayagua!AC26+Copán!AC23+Cortes!AC26+Choluteca!AC23+'El Paraíso'!AC23+'Fco Morazan'!AC26+'Gracias a Dios'!AC26+Intibucá!AC23+'Islas DLB'!AC26+'La Paz'!AC23+Lempira!AC23+Ocotepeque!AC26+Olancho!AC26+'Santa Barbara'!AC23+Valle!AC26+Yoro!AC23</f>
        <v>238</v>
      </c>
      <c r="M20" s="84">
        <f t="shared" ref="M20:M21" si="11">L20/$C$20</f>
        <v>0.49895178197064988</v>
      </c>
      <c r="N20" s="126"/>
      <c r="O20" s="6" t="s">
        <v>5</v>
      </c>
      <c r="P20" s="57">
        <f>Atlantida!AF26+Colon!AF26+Comayagua!AF26+Copán!AF23+Cortes!AF26+Choluteca!AF23+'El Paraíso'!AF23+'Fco Morazan'!AF26+'Gracias a Dios'!AF26+Intibucá!AF23+'Islas DLB'!AF26+'La Paz'!AF23+Lempira!AF23+Ocotepeque!AF26+Olancho!AF26+'Santa Barbara'!AF23+Valle!AF26+Yoro!AF23</f>
        <v>63</v>
      </c>
      <c r="Q20" s="88">
        <f t="shared" ref="Q20:Q21" si="12">P20/$C$20</f>
        <v>0.13207547169811321</v>
      </c>
      <c r="R20" s="76" t="s">
        <v>8</v>
      </c>
      <c r="S20" s="57">
        <f>Atlantida!AH26+Colon!AH26+Comayagua!AH26+Copán!AH23+Cortes!AH26+Choluteca!AH23+'El Paraíso'!AH23+'Fco Morazan'!AH26+'Gracias a Dios'!AH26+Intibucá!AH23+'Islas DLB'!AH26+'La Paz'!AH23+Lempira!AH23+Ocotepeque!AH26+Olancho!AH26+'Santa Barbara'!AH23+Valle!AH26+Yoro!AH23</f>
        <v>65</v>
      </c>
      <c r="T20" s="88">
        <f t="shared" ref="T20:T21" si="13">S20/$C$20</f>
        <v>0.13626834381551362</v>
      </c>
      <c r="U20" s="50"/>
      <c r="V20" s="57"/>
      <c r="W20" s="89"/>
      <c r="X20" s="50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57"/>
      <c r="AQ20" s="4"/>
    </row>
    <row r="21" spans="1:43" ht="15.75" thickBot="1" x14ac:dyDescent="0.3">
      <c r="A21" s="109"/>
      <c r="B21" s="9" t="s">
        <v>29</v>
      </c>
      <c r="C21" s="40">
        <f>Atlantida!W27+Colon!W27+Comayagua!W27+Copán!W24+Cortes!W27+Choluteca!W24+'El Paraíso'!W24+'Fco Morazan'!W27+'Gracias a Dios'!W27+Intibucá!W24+'Islas DLB'!W27+'La Paz'!W24+Lempira!W24+Ocotepeque!W27+Olancho!W27+'Santa Barbara'!W24+Valle!W27+Yoro!W24</f>
        <v>3</v>
      </c>
      <c r="D21" s="107"/>
      <c r="E21" s="37">
        <f t="shared" si="1"/>
        <v>4.5731707317073168E-3</v>
      </c>
      <c r="F21" s="121"/>
      <c r="G21" s="26" t="s">
        <v>29</v>
      </c>
      <c r="H21" s="52">
        <f>Atlantida!Z27+Colon!Z27+Comayagua!Z27+Copán!Z24+Cortes!Z27+Choluteca!Z24+'El Paraíso'!Z24+'Fco Morazan'!Z27+'Gracias a Dios'!Z27+Intibucá!Z24+'Islas DLB'!Z27+'La Paz'!Z24+Lempira!Z24+Ocotepeque!Z27+Olancho!Z27+'Santa Barbara'!Z24+Valle!Z27+Yoro!Z24</f>
        <v>9</v>
      </c>
      <c r="I21" s="84">
        <f t="shared" si="10"/>
        <v>5.113636363636364E-2</v>
      </c>
      <c r="J21" s="127"/>
      <c r="K21" s="26" t="s">
        <v>29</v>
      </c>
      <c r="L21" s="52">
        <f>Atlantida!AC27+Colon!AC27+Comayagua!AC27+Copán!AC24+Cortes!AC27+Choluteca!AC24+'El Paraíso'!AC24+'Fco Morazan'!AC27+'Gracias a Dios'!AC27+Intibucá!AC24+'Islas DLB'!AC27+'La Paz'!AC24+Lempira!AC24+Ocotepeque!AC27+Olancho!AC27+'Santa Barbara'!AC24+Valle!AC27+Yoro!AC24</f>
        <v>22</v>
      </c>
      <c r="M21" s="84">
        <f t="shared" si="11"/>
        <v>4.6121593291404611E-2</v>
      </c>
      <c r="N21" s="127"/>
      <c r="O21" s="26" t="s">
        <v>6</v>
      </c>
      <c r="P21" s="58">
        <f>Atlantida!AF27+Colon!AF27+Comayagua!AF27+Copán!AF24+Cortes!AF27+Choluteca!AF24+'El Paraíso'!AF24+'Fco Morazan'!AF27+'Gracias a Dios'!AF27+Intibucá!AF24+'Islas DLB'!AF27+'La Paz'!AF24+Lempira!AF24+Ocotepeque!AF27+Olancho!AF27+'Santa Barbara'!AF24+Valle!AF27+Yoro!AF24</f>
        <v>65</v>
      </c>
      <c r="Q21" s="88">
        <f t="shared" si="12"/>
        <v>0.13626834381551362</v>
      </c>
      <c r="R21" s="59" t="s">
        <v>9</v>
      </c>
      <c r="S21" s="58">
        <f>Atlantida!AH27+Colon!AH27+Comayagua!AH27+Copán!AH24+Cortes!AH27+Choluteca!AH24+'El Paraíso'!AH24+'Fco Morazan'!AH27+'Gracias a Dios'!AH27+Intibucá!AH24+'Islas DLB'!AH27+'La Paz'!AH24+Lempira!AH24+Ocotepeque!AH27+Olancho!AH27+'Santa Barbara'!AH24+Valle!AH27+Yoro!AH24</f>
        <v>102</v>
      </c>
      <c r="T21" s="88">
        <f t="shared" si="13"/>
        <v>0.21383647798742139</v>
      </c>
      <c r="U21" s="59"/>
      <c r="V21" s="58"/>
      <c r="W21" s="90"/>
      <c r="X21" s="50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57"/>
      <c r="AQ21" s="4"/>
    </row>
    <row r="22" spans="1:43" ht="15.75" thickBot="1" x14ac:dyDescent="0.3">
      <c r="A22" s="109" t="s">
        <v>39</v>
      </c>
      <c r="B22" s="9" t="s">
        <v>20</v>
      </c>
      <c r="C22" s="40">
        <f>Atlantida!W28+Colon!W28+Comayagua!W28+Copán!W25+Cortes!W28+Choluteca!W25+'El Paraíso'!W25+'Fco Morazan'!W28+'Gracias a Dios'!W28+Intibucá!W25+'Islas DLB'!W28+'La Paz'!W25+Lempira!W25+Ocotepeque!W28+Olancho!W28+'Santa Barbara'!W25+Valle!W28+Yoro!W25</f>
        <v>153</v>
      </c>
      <c r="D22" s="107" t="s">
        <v>113</v>
      </c>
      <c r="E22" s="37">
        <f t="shared" si="1"/>
        <v>0.23323170731707318</v>
      </c>
      <c r="F22" s="119" t="s">
        <v>118</v>
      </c>
      <c r="G22" s="48" t="s">
        <v>114</v>
      </c>
      <c r="H22" s="49">
        <f>Atlantida!Z28+Colon!Z28+Comayagua!Z28+Copán!Z25+Cortes!Z28+Choluteca!Z25+'El Paraíso'!Z25+'Fco Morazan'!Z28+'Gracias a Dios'!Z28+Intibucá!Z25+'Islas DLB'!Z28+'La Paz'!Z25+Lempira!Z25+Ocotepeque!Z28+Olancho!Z28+'Santa Barbara'!Z25+Valle!Z28+Yoro!Z25</f>
        <v>72</v>
      </c>
      <c r="I22" s="84">
        <f>H22/$C$22</f>
        <v>0.47058823529411764</v>
      </c>
      <c r="J22" s="128" t="s">
        <v>117</v>
      </c>
      <c r="K22" s="19" t="s">
        <v>114</v>
      </c>
      <c r="L22" s="49">
        <f>Atlantida!AC28+Colon!AC28+Comayagua!AC28+Copán!AC25+Cortes!AC28+Choluteca!AC25+'El Paraíso'!AC25+'Fco Morazan'!AC28+'Gracias a Dios'!AC28+Intibucá!AC25+'Islas DLB'!AC28+'La Paz'!AC25+Lempira!AC25+Ocotepeque!AC28+Olancho!AC28+'Santa Barbara'!AC25+Valle!AC28+Yoro!AC25</f>
        <v>222</v>
      </c>
      <c r="M22" s="84">
        <f>L22/$C$23</f>
        <v>0.44400000000000001</v>
      </c>
      <c r="N22" s="128" t="s">
        <v>117</v>
      </c>
      <c r="O22" s="19" t="s">
        <v>4</v>
      </c>
      <c r="P22" s="55">
        <f>Atlantida!AF28+Colon!AF28+Comayagua!AF28+Copán!AF25+Cortes!AF28+Choluteca!AF25+'El Paraíso'!AF25+'Fco Morazan'!AF28+'Gracias a Dios'!AF28+Intibucá!AF25+'Islas DLB'!AF28+'La Paz'!AF25+Lempira!AF25+Ocotepeque!AF28+Olancho!AF28+'Santa Barbara'!AF25+Valle!AF28+Yoro!AF25</f>
        <v>104</v>
      </c>
      <c r="Q22" s="88">
        <f>P22/$C$23</f>
        <v>0.20799999999999999</v>
      </c>
      <c r="R22" s="80" t="s">
        <v>7</v>
      </c>
      <c r="S22" s="55">
        <f>Atlantida!AH28+Colon!AH28+Comayagua!AH28+Copán!AH25+Cortes!AH28+Choluteca!AH25+'El Paraíso'!AH25+'Fco Morazan'!AH28+'Gracias a Dios'!AH28+Intibucá!AH25+'Islas DLB'!AH28+'La Paz'!AH25+Lempira!AH25+Ocotepeque!AH28+Olancho!AH28+'Santa Barbara'!AH25+Valle!AH28+Yoro!AH25</f>
        <v>62</v>
      </c>
      <c r="T22" s="88">
        <f>S22/$C$23</f>
        <v>0.124</v>
      </c>
      <c r="U22" s="80" t="s">
        <v>29</v>
      </c>
      <c r="V22" s="55">
        <f>Atlantida!AJ28+Colon!AJ28+Comayagua!AJ28+Copán!AJ25+Cortes!AJ28+Choluteca!AJ25+'El Paraíso'!AJ25+'Fco Morazan'!AJ28+'Gracias a Dios'!AJ28+Intibucá!AJ25+'Islas DLB'!AJ28+'La Paz'!AJ25+Lempira!AJ25+Ocotepeque!AJ28+Olancho!AJ28+'Santa Barbara'!AJ25+Valle!AJ28+Yoro!AJ25</f>
        <v>24</v>
      </c>
      <c r="W22" s="88">
        <f>V22/$C$23</f>
        <v>4.8000000000000001E-2</v>
      </c>
      <c r="X22" s="50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57"/>
      <c r="AQ22" s="4"/>
    </row>
    <row r="23" spans="1:43" ht="15.75" thickBot="1" x14ac:dyDescent="0.3">
      <c r="A23" s="109"/>
      <c r="B23" s="9" t="s">
        <v>25</v>
      </c>
      <c r="C23" s="40">
        <f>Atlantida!W29+Colon!W29+Comayagua!W29+Copán!W26+Cortes!W29+Choluteca!W26+'El Paraíso'!W26+'Fco Morazan'!W29+'Gracias a Dios'!W29+Intibucá!W26+'Islas DLB'!W29+'La Paz'!W26+Lempira!W26+Ocotepeque!W29+Olancho!W29+'Santa Barbara'!W26+Valle!W29+Yoro!W26</f>
        <v>500</v>
      </c>
      <c r="D23" s="107"/>
      <c r="E23" s="37">
        <f t="shared" si="1"/>
        <v>0.76219512195121952</v>
      </c>
      <c r="F23" s="120"/>
      <c r="G23" s="6" t="s">
        <v>115</v>
      </c>
      <c r="H23" s="51">
        <f>Atlantida!Z29+Colon!Z29+Comayagua!Z29+Copán!Z26+Cortes!Z29+Choluteca!Z26+'El Paraíso'!Z26+'Fco Morazan'!Z29+'Gracias a Dios'!Z29+Intibucá!Z26+'Islas DLB'!Z29+'La Paz'!Z26+Lempira!Z26+Ocotepeque!Z29+Olancho!Z29+'Santa Barbara'!Z26+Valle!Z29+Yoro!Z26</f>
        <v>71</v>
      </c>
      <c r="I23" s="84">
        <f t="shared" ref="I23:I24" si="14">H23/$C$22</f>
        <v>0.46405228758169936</v>
      </c>
      <c r="J23" s="129"/>
      <c r="K23" s="35" t="s">
        <v>115</v>
      </c>
      <c r="L23" s="51">
        <f>Atlantida!AC29+Colon!AC29+Comayagua!AC29+Copán!AC26+Cortes!AC29+Choluteca!AC26+'El Paraíso'!AC26+'Fco Morazan'!AC29+'Gracias a Dios'!AC29+Intibucá!AC26+'Islas DLB'!AC29+'La Paz'!AC26+Lempira!AC26+Ocotepeque!AC29+Olancho!AC29+'Santa Barbara'!AC26+Valle!AC29+Yoro!AC26</f>
        <v>257</v>
      </c>
      <c r="M23" s="84">
        <f t="shared" ref="M23:M24" si="15">L23/$C$23</f>
        <v>0.51400000000000001</v>
      </c>
      <c r="N23" s="129"/>
      <c r="O23" s="35" t="s">
        <v>5</v>
      </c>
      <c r="P23" s="57">
        <f>Atlantida!AF29+Colon!AF29+Comayagua!AF29+Copán!AF26+Cortes!AF29+Choluteca!AF26+'El Paraíso'!AF26+'Fco Morazan'!AF29+'Gracias a Dios'!AF29+Intibucá!AF26+'Islas DLB'!AF29+'La Paz'!AF26+Lempira!AF26+Ocotepeque!AF29+Olancho!AF29+'Santa Barbara'!AF26+Valle!AF29+Yoro!AF26</f>
        <v>71</v>
      </c>
      <c r="Q23" s="88">
        <f t="shared" ref="Q23:Q24" si="16">P23/$C$23</f>
        <v>0.14199999999999999</v>
      </c>
      <c r="R23" s="81" t="s">
        <v>8</v>
      </c>
      <c r="S23" s="57">
        <f>Atlantida!AH29+Colon!AH29+Comayagua!AH29+Copán!AH26+Cortes!AH29+Choluteca!AH26+'El Paraíso'!AH26+'Fco Morazan'!AH29+'Gracias a Dios'!AH29+Intibucá!AH26+'Islas DLB'!AH29+'La Paz'!AH26+Lempira!AH26+Ocotepeque!AH29+Olancho!AH29+'Santa Barbara'!AH26+Valle!AH29+Yoro!AH26</f>
        <v>67</v>
      </c>
      <c r="T23" s="88">
        <f t="shared" ref="T23:T24" si="17">S23/$C$23</f>
        <v>0.13400000000000001</v>
      </c>
      <c r="U23" s="83"/>
      <c r="V23" s="57"/>
      <c r="W23" s="89"/>
      <c r="X23" s="50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57"/>
      <c r="AQ23" s="4"/>
    </row>
    <row r="24" spans="1:43" ht="15.75" thickBot="1" x14ac:dyDescent="0.3">
      <c r="A24" s="109"/>
      <c r="B24" s="9" t="s">
        <v>29</v>
      </c>
      <c r="C24" s="40">
        <f>Atlantida!W30+Colon!W30+Comayagua!W30+Copán!W27+Cortes!W30+Choluteca!W27+'El Paraíso'!W27+'Fco Morazan'!W30+'Gracias a Dios'!W30+Intibucá!W27+'Islas DLB'!W30+'La Paz'!W27+Lempira!W27+Ocotepeque!W30+Olancho!W30+'Santa Barbara'!W27+Valle!W30+Yoro!W27</f>
        <v>3</v>
      </c>
      <c r="D24" s="107"/>
      <c r="E24" s="37">
        <f t="shared" si="1"/>
        <v>4.5731707317073168E-3</v>
      </c>
      <c r="F24" s="121"/>
      <c r="G24" s="26" t="s">
        <v>29</v>
      </c>
      <c r="H24" s="52">
        <f>Atlantida!Z30+Colon!Z30+Comayagua!Z30+Copán!Z27+Cortes!Z30+Choluteca!Z27+'El Paraíso'!Z27+'Fco Morazan'!Z30+'Gracias a Dios'!Z30+Intibucá!Z27+'Islas DLB'!Z30+'La Paz'!Z27+Lempira!Z27+Ocotepeque!Z30+Olancho!Z30+'Santa Barbara'!Z27+Valle!Z30+Yoro!Z27</f>
        <v>10</v>
      </c>
      <c r="I24" s="84">
        <f t="shared" si="14"/>
        <v>6.535947712418301E-2</v>
      </c>
      <c r="J24" s="130"/>
      <c r="K24" s="27" t="s">
        <v>29</v>
      </c>
      <c r="L24" s="52">
        <f>Atlantida!AC30+Colon!AC30+Comayagua!AC30+Copán!AC27+Cortes!AC30+Choluteca!AC27+'El Paraíso'!AC27+'Fco Morazan'!AC30+'Gracias a Dios'!AC30+Intibucá!AC27+'Islas DLB'!AC30+'La Paz'!AC27+Lempira!AC27+Ocotepeque!AC30+Olancho!AC30+'Santa Barbara'!AC27+Valle!AC30+Yoro!AC27</f>
        <v>21</v>
      </c>
      <c r="M24" s="84">
        <f t="shared" si="15"/>
        <v>4.2000000000000003E-2</v>
      </c>
      <c r="N24" s="130"/>
      <c r="O24" s="27" t="s">
        <v>6</v>
      </c>
      <c r="P24" s="58">
        <f>Atlantida!AF30+Colon!AF30+Comayagua!AF30+Copán!AF27+Cortes!AF30+Choluteca!AF27+'El Paraíso'!AF27+'Fco Morazan'!AF30+'Gracias a Dios'!AF30+Intibucá!AF27+'Islas DLB'!AF30+'La Paz'!AF27+Lempira!AF27+Ocotepeque!AF30+Olancho!AF30+'Santa Barbara'!AF27+Valle!AF30+Yoro!AF27</f>
        <v>71</v>
      </c>
      <c r="Q24" s="88">
        <f t="shared" si="16"/>
        <v>0.14199999999999999</v>
      </c>
      <c r="R24" s="82" t="s">
        <v>9</v>
      </c>
      <c r="S24" s="58">
        <f>Atlantida!AH30+Colon!AH30+Comayagua!AH30+Copán!AH27+Cortes!AH30+Choluteca!AH27+'El Paraíso'!AH27+'Fco Morazan'!AH30+'Gracias a Dios'!AH30+Intibucá!AH27+'Islas DLB'!AH30+'La Paz'!AH27+Lempira!AH27+Ocotepeque!AH30+Olancho!AH30+'Santa Barbara'!AH27+Valle!AH30+Yoro!AH27</f>
        <v>101</v>
      </c>
      <c r="T24" s="88">
        <f t="shared" si="17"/>
        <v>0.20200000000000001</v>
      </c>
      <c r="U24" s="82"/>
      <c r="V24" s="58"/>
      <c r="W24" s="90"/>
      <c r="X24" s="50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57"/>
      <c r="AQ24" s="4"/>
    </row>
    <row r="25" spans="1:43" ht="15.75" thickBot="1" x14ac:dyDescent="0.3">
      <c r="A25" s="109" t="s">
        <v>40</v>
      </c>
      <c r="B25" s="9" t="s">
        <v>20</v>
      </c>
      <c r="C25" s="40">
        <f>Atlantida!W31+Colon!W31+Comayagua!W31+Copán!W28+Cortes!W31+Choluteca!W28+'El Paraíso'!W28+'Fco Morazan'!W31+'Gracias a Dios'!W31+Intibucá!W28+'Islas DLB'!W31+'La Paz'!W28+Lempira!W28+Ocotepeque!W31+Olancho!W31+'Santa Barbara'!W28+Valle!W31+Yoro!W28</f>
        <v>142</v>
      </c>
      <c r="D25" s="107" t="s">
        <v>113</v>
      </c>
      <c r="E25" s="37">
        <f t="shared" si="1"/>
        <v>0.21646341463414634</v>
      </c>
      <c r="F25" s="119" t="s">
        <v>118</v>
      </c>
      <c r="G25" s="48" t="s">
        <v>114</v>
      </c>
      <c r="H25" s="49">
        <f>Atlantida!Z31+Colon!Z31+Comayagua!Z31+Copán!Z28+Cortes!Z31+Choluteca!Z28+'El Paraíso'!Z28+'Fco Morazan'!Z31+'Gracias a Dios'!Z31+Intibucá!Z28+'Islas DLB'!Z31+'La Paz'!Z28+Lempira!Z28+Ocotepeque!Z31+Olancho!Z31+'Santa Barbara'!Z28+Valle!Z31+Yoro!Z28</f>
        <v>67</v>
      </c>
      <c r="I25" s="84">
        <f>H25/$C$25</f>
        <v>0.47183098591549294</v>
      </c>
      <c r="J25" s="128" t="s">
        <v>117</v>
      </c>
      <c r="K25" s="19" t="s">
        <v>114</v>
      </c>
      <c r="L25" s="49">
        <f>Atlantida!AC31+Colon!AC31+Comayagua!AC31+Copán!AC28+Cortes!AC31+Choluteca!AC28+'El Paraíso'!AC28+'Fco Morazan'!AC31+'Gracias a Dios'!AC31+Intibucá!AC28+'Islas DLB'!AC31+'La Paz'!AC28+Lempira!AC28+Ocotepeque!AC31+Olancho!AC31+'Santa Barbara'!AC28+Valle!AC31+Yoro!AC28</f>
        <v>227</v>
      </c>
      <c r="M25" s="84">
        <f>L25/$C$26</f>
        <v>0.44422700587084146</v>
      </c>
      <c r="N25" s="128" t="s">
        <v>117</v>
      </c>
      <c r="O25" s="19" t="s">
        <v>4</v>
      </c>
      <c r="P25" s="55">
        <f>Atlantida!AF31+Colon!AF31+Comayagua!AF31+Copán!AF28+Cortes!AF31+Choluteca!AF28+'El Paraíso'!AF28+'Fco Morazan'!AF31+'Gracias a Dios'!AF31+Intibucá!AF28+'Islas DLB'!AF31+'La Paz'!AF28+Lempira!AF28+Ocotepeque!AF31+Olancho!AF31+'Santa Barbara'!AF28+Valle!AF31+Yoro!AF28</f>
        <v>100</v>
      </c>
      <c r="Q25" s="88">
        <f>P25/$C$26</f>
        <v>0.19569471624266144</v>
      </c>
      <c r="R25" s="80" t="s">
        <v>7</v>
      </c>
      <c r="S25" s="55">
        <f>Atlantida!AH31+Colon!AH31+Comayagua!AH31+Copán!AH28+Cortes!AH31+Choluteca!AH28+'El Paraíso'!AH28+'Fco Morazan'!AH31+'Gracias a Dios'!AH31+Intibucá!AH28+'Islas DLB'!AH31+'La Paz'!AH28+Lempira!AH28+Ocotepeque!AH31+Olancho!AH31+'Santa Barbara'!AH28+Valle!AH31+Yoro!AH28</f>
        <v>65</v>
      </c>
      <c r="T25" s="88">
        <f>S25/$C$26</f>
        <v>0.12720156555772993</v>
      </c>
      <c r="U25" s="80" t="s">
        <v>29</v>
      </c>
      <c r="V25" s="55">
        <f>Atlantida!AJ31+Colon!AJ31+Comayagua!AJ31+Copán!AJ28+Cortes!AJ31+Choluteca!AJ28+'El Paraíso'!AJ28+'Fco Morazan'!AJ31+'Gracias a Dios'!AJ31+Intibucá!AJ28+'Islas DLB'!AJ31+'La Paz'!AJ28+Lempira!AJ28+Ocotepeque!AJ31+Olancho!AJ31+'Santa Barbara'!AJ28+Valle!AJ31+Yoro!AJ28</f>
        <v>26</v>
      </c>
      <c r="W25" s="93">
        <f>V25/$C$26</f>
        <v>5.0880626223091974E-2</v>
      </c>
      <c r="X25" s="50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57"/>
      <c r="AQ25" s="4"/>
    </row>
    <row r="26" spans="1:43" ht="15.75" thickBot="1" x14ac:dyDescent="0.3">
      <c r="A26" s="109"/>
      <c r="B26" s="9" t="s">
        <v>25</v>
      </c>
      <c r="C26" s="40">
        <f>Atlantida!W32+Colon!W32+Comayagua!W32+Copán!W29+Cortes!W32+Choluteca!W29+'El Paraíso'!W29+'Fco Morazan'!W32+'Gracias a Dios'!W32+Intibucá!W29+'Islas DLB'!W32+'La Paz'!W29+Lempira!W29+Ocotepeque!W32+Olancho!W32+'Santa Barbara'!W29+Valle!W32+Yoro!W29</f>
        <v>511</v>
      </c>
      <c r="D26" s="107"/>
      <c r="E26" s="37">
        <f t="shared" si="1"/>
        <v>0.77896341463414631</v>
      </c>
      <c r="F26" s="120"/>
      <c r="G26" s="6" t="s">
        <v>115</v>
      </c>
      <c r="H26" s="51">
        <f>Atlantida!Z32+Colon!Z32+Comayagua!Z32+Copán!Z29+Cortes!Z32+Choluteca!Z29+'El Paraíso'!Z29+'Fco Morazan'!Z32+'Gracias a Dios'!Z32+Intibucá!Z29+'Islas DLB'!Z32+'La Paz'!Z29+Lempira!Z29+Ocotepeque!Z32+Olancho!Z32+'Santa Barbara'!Z29+Valle!Z32+Yoro!Z29</f>
        <v>66</v>
      </c>
      <c r="I26" s="84">
        <f t="shared" ref="I26:I27" si="18">H26/$C$25</f>
        <v>0.46478873239436619</v>
      </c>
      <c r="J26" s="129"/>
      <c r="K26" s="35" t="s">
        <v>115</v>
      </c>
      <c r="L26" s="51">
        <f>Atlantida!AC32+Colon!AC32+Comayagua!AC32+Copán!AC29+Cortes!AC32+Choluteca!AC29+'El Paraíso'!AC29+'Fco Morazan'!AC32+'Gracias a Dios'!AC32+Intibucá!AC29+'Islas DLB'!AC32+'La Paz'!AC29+Lempira!AC29+Ocotepeque!AC32+Olancho!AC32+'Santa Barbara'!AC29+Valle!AC32+Yoro!AC29</f>
        <v>262</v>
      </c>
      <c r="M26" s="84">
        <f t="shared" ref="M26:M27" si="19">L26/$C$26</f>
        <v>0.51272015655577297</v>
      </c>
      <c r="N26" s="129"/>
      <c r="O26" s="35" t="s">
        <v>5</v>
      </c>
      <c r="P26" s="57">
        <f>Atlantida!AF32+Colon!AF32+Comayagua!AF32+Copán!AF29+Cortes!AF32+Choluteca!AF29+'El Paraíso'!AF29+'Fco Morazan'!AF32+'Gracias a Dios'!AF32+Intibucá!AF29+'Islas DLB'!AF32+'La Paz'!AF29+Lempira!AF29+Ocotepeque!AF32+Olancho!AF32+'Santa Barbara'!AF29+Valle!AF32+Yoro!AF29</f>
        <v>70</v>
      </c>
      <c r="Q26" s="88">
        <f t="shared" ref="Q26:Q27" si="20">P26/$C$26</f>
        <v>0.13698630136986301</v>
      </c>
      <c r="R26" s="81" t="s">
        <v>8</v>
      </c>
      <c r="S26" s="57">
        <f>Atlantida!AH32+Colon!AH32+Comayagua!AH32+Copán!AH29+Cortes!AH32+Choluteca!AH29+'El Paraíso'!AH29+'Fco Morazan'!AH32+'Gracias a Dios'!AH32+Intibucá!AH29+'Islas DLB'!AH32+'La Paz'!AH29+Lempira!AH29+Ocotepeque!AH32+Olancho!AH32+'Santa Barbara'!AH29+Valle!AH32+Yoro!AH29</f>
        <v>71</v>
      </c>
      <c r="T26" s="88">
        <f>S26/$C$26</f>
        <v>0.13894324853228962</v>
      </c>
      <c r="U26" s="83"/>
      <c r="V26" s="57"/>
      <c r="W26" s="88"/>
      <c r="X26" s="50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57"/>
      <c r="AQ26" s="4"/>
    </row>
    <row r="27" spans="1:43" ht="15.75" thickBot="1" x14ac:dyDescent="0.3">
      <c r="A27" s="109"/>
      <c r="B27" s="9" t="s">
        <v>29</v>
      </c>
      <c r="C27" s="40">
        <f>Atlantida!W33+Colon!W33+Comayagua!W33+Copán!W30+Cortes!W33+Choluteca!W30+'El Paraíso'!W30+'Fco Morazan'!W33+'Gracias a Dios'!W33+Intibucá!W30+'Islas DLB'!W33+'La Paz'!W30+Lempira!W30+Ocotepeque!W33+Olancho!W33+'Santa Barbara'!W30+Valle!W33+Yoro!W30</f>
        <v>3</v>
      </c>
      <c r="D27" s="107"/>
      <c r="E27" s="37">
        <f t="shared" si="1"/>
        <v>4.5731707317073168E-3</v>
      </c>
      <c r="F27" s="121"/>
      <c r="G27" s="26" t="s">
        <v>29</v>
      </c>
      <c r="H27" s="52">
        <f>Atlantida!Z33+Colon!Z33+Comayagua!Z33+Copán!Z30+Cortes!Z33+Choluteca!Z30+'El Paraíso'!Z30+'Fco Morazan'!Z33+'Gracias a Dios'!Z33+Intibucá!Z30+'Islas DLB'!Z33+'La Paz'!Z30+Lempira!Z30+Ocotepeque!Z33+Olancho!Z33+'Santa Barbara'!Z30+Valle!Z33+Yoro!Z30</f>
        <v>9</v>
      </c>
      <c r="I27" s="84">
        <f t="shared" si="18"/>
        <v>6.3380281690140844E-2</v>
      </c>
      <c r="J27" s="130"/>
      <c r="K27" s="27" t="s">
        <v>29</v>
      </c>
      <c r="L27" s="52">
        <f>Atlantida!AC33+Colon!AC33+Comayagua!AC33+Copán!AC30+Cortes!AC33+Choluteca!AC30+'El Paraíso'!AC30+'Fco Morazan'!AC33+'Gracias a Dios'!AC33+Intibucá!AC30+'Islas DLB'!AC33+'La Paz'!AC30+Lempira!AC30+Ocotepeque!AC33+Olancho!AC33+'Santa Barbara'!AC30+Valle!AC33+Yoro!AC30</f>
        <v>22</v>
      </c>
      <c r="M27" s="99">
        <f t="shared" si="19"/>
        <v>4.3052837573385516E-2</v>
      </c>
      <c r="N27" s="130"/>
      <c r="O27" s="27" t="s">
        <v>6</v>
      </c>
      <c r="P27" s="58">
        <f>Atlantida!AF33+Colon!AF33+Comayagua!AF33+Copán!AF30+Cortes!AF33+Choluteca!AF30+'El Paraíso'!AF30+'Fco Morazan'!AF33+'Gracias a Dios'!AF33+Intibucá!AF30+'Islas DLB'!AF33+'La Paz'!AF30+Lempira!AF30+Ocotepeque!AF33+Olancho!AF33+'Santa Barbara'!AF30+Valle!AF33+Yoro!AF30</f>
        <v>74</v>
      </c>
      <c r="Q27" s="88">
        <f t="shared" si="20"/>
        <v>0.14481409001956946</v>
      </c>
      <c r="R27" s="82" t="s">
        <v>9</v>
      </c>
      <c r="S27" s="58">
        <f>Atlantida!AH33+Colon!AH33+Comayagua!AH33+Copán!AH30+Cortes!AH33+Choluteca!AH30+'El Paraíso'!AH30+'Fco Morazan'!AH33+'Gracias a Dios'!AH33+Intibucá!AH30+'Islas DLB'!AH33+'La Paz'!AH30+Lempira!AH30+Ocotepeque!AH33+Olancho!AH33+'Santa Barbara'!AH30+Valle!AH33+Yoro!AH30</f>
        <v>105</v>
      </c>
      <c r="T27" s="88">
        <f>S27/$C$26</f>
        <v>0.20547945205479451</v>
      </c>
      <c r="U27" s="82"/>
      <c r="V27" s="58"/>
      <c r="W27" s="90"/>
      <c r="X27" s="54"/>
      <c r="Y27" s="34"/>
      <c r="Z27" s="34"/>
      <c r="AA27" s="34"/>
      <c r="AB27" s="34"/>
      <c r="AC27" s="34"/>
      <c r="AD27" s="34"/>
      <c r="AE27" s="34"/>
      <c r="AF27" s="78"/>
      <c r="AG27" s="78"/>
      <c r="AH27" s="34"/>
      <c r="AI27" s="34"/>
      <c r="AJ27" s="34"/>
      <c r="AK27" s="34"/>
      <c r="AL27" s="34"/>
      <c r="AM27" s="34"/>
      <c r="AN27" s="34"/>
      <c r="AO27" s="34"/>
      <c r="AP27" s="78"/>
      <c r="AQ27" s="4"/>
    </row>
    <row r="28" spans="1:43" ht="15" customHeight="1" thickBot="1" x14ac:dyDescent="0.3">
      <c r="A28" s="109" t="s">
        <v>41</v>
      </c>
      <c r="B28" s="9" t="s">
        <v>27</v>
      </c>
      <c r="C28" s="40">
        <f>Atlantida!W34+Colon!W34+Comayagua!W34+Copán!W31+Cortes!W34+Choluteca!W31+'El Paraíso'!W31+'Fco Morazan'!W34+'Gracias a Dios'!W34+Intibucá!W31+'Islas DLB'!W34+'La Paz'!W31+Lempira!W31+Ocotepeque!W34+Olancho!W34+'Santa Barbara'!W31+Valle!W34+Yoro!W31</f>
        <v>297</v>
      </c>
      <c r="D28" s="107" t="s">
        <v>113</v>
      </c>
      <c r="E28" s="37">
        <f t="shared" si="1"/>
        <v>0.4527439024390244</v>
      </c>
      <c r="F28" s="119" t="s">
        <v>116</v>
      </c>
      <c r="G28" s="48" t="s">
        <v>114</v>
      </c>
      <c r="H28" s="49">
        <f>Atlantida!Z34+Colon!Z34+Comayagua!Z34+Copán!Z31+Cortes!Z34+Choluteca!Z31+'El Paraíso'!Z31+'Fco Morazan'!Z34+'Gracias a Dios'!Z34+Intibucá!Z31+'Islas DLB'!Z34+'La Paz'!Z31+Lempira!Z31+Ocotepeque!Z34+Olancho!Z34+'Santa Barbara'!Z31+Valle!Z34+Yoro!Z31</f>
        <v>135</v>
      </c>
      <c r="I28" s="84">
        <f>H28/$C$28</f>
        <v>0.45454545454545453</v>
      </c>
      <c r="J28" s="125" t="s">
        <v>119</v>
      </c>
      <c r="K28" s="48" t="s">
        <v>114</v>
      </c>
      <c r="L28" s="49">
        <f>Atlantida!AC34+Colon!AC34+Comayagua!AC34+Copán!AC31+Cortes!AC34+Choluteca!AC31+'El Paraíso'!AC31+'Fco Morazan'!AC34+'Gracias a Dios'!AC34+Intibucá!AC31+'Islas DLB'!AC34+'La Paz'!AC31+Lempira!AC31+Ocotepeque!AC34+Olancho!AC34+'Santa Barbara'!AC31+Valle!AC34+Yoro!AC31</f>
        <v>69</v>
      </c>
      <c r="M28" s="99">
        <f>L28/$C$29</f>
        <v>0.47916666666666669</v>
      </c>
      <c r="N28" s="132" t="s">
        <v>120</v>
      </c>
      <c r="O28" s="61" t="s">
        <v>114</v>
      </c>
      <c r="P28" s="77">
        <f>Atlantida!AF34+Colon!AF34+Comayagua!AF34+Copán!AF31+Cortes!AF34+Choluteca!AF31+'El Paraíso'!AF31+'Fco Morazan'!AF34+'Gracias a Dios'!AF34+Intibucá!AF31+'Islas DLB'!AF34+'La Paz'!AF31+Lempira!AF31+Ocotepeque!AF34+Olancho!AF34+'Santa Barbara'!AF31+Valle!AF34+Yoro!AF31</f>
        <v>54</v>
      </c>
      <c r="Q28" s="91">
        <f>P28/$C$30</f>
        <v>0.40909090909090912</v>
      </c>
      <c r="R28" s="133" t="s">
        <v>121</v>
      </c>
      <c r="S28" s="77" t="s">
        <v>114</v>
      </c>
      <c r="T28" s="100">
        <f>Atlantida!AI34+Colon!AI34+Comayagua!AI34+Copán!AI31+Cortes!AI34+Choluteca!AI31+'El Paraíso'!AI31+'Fco Morazan'!AI34+'Gracias a Dios'!AI34+Intibucá!AI31+'Islas DLB'!AI34+'La Paz'!AI31+Lempira!AI31+Ocotepeque!AI34+Olancho!AI34+'Santa Barbara'!AI31+Valle!AI34+Yoro!AI31</f>
        <v>37</v>
      </c>
      <c r="U28" s="103">
        <f>T28/$C$31</f>
        <v>0.44578313253012047</v>
      </c>
      <c r="V28" s="74"/>
      <c r="W28" s="94"/>
      <c r="X28" s="134" t="s">
        <v>122</v>
      </c>
      <c r="Y28" s="56" t="s">
        <v>4</v>
      </c>
      <c r="Z28" s="48">
        <f>Atlantida!AM34+Colon!AM34+Comayagua!AM34+Copán!AM31+Cortes!AM34+Choluteca!AM31+'El Paraíso'!AM31+'Fco Morazan'!AM34+'Gracias a Dios'!AM34+Intibucá!AM31+'Islas DLB'!AM34+'La Paz'!AM31+Lempira!AM31+Ocotepeque!AM34+Olancho!AM34+'Santa Barbara'!AM31+Valle!AM34+Yoro!AM31</f>
        <v>53</v>
      </c>
      <c r="AA28" s="104">
        <f>Z28/$C$28</f>
        <v>0.17845117845117844</v>
      </c>
      <c r="AB28" s="48" t="s">
        <v>7</v>
      </c>
      <c r="AC28" s="48">
        <f>Atlantida!AO34+Colon!AO34+Comayagua!AO34+Copán!AO31+Cortes!AO34+Choluteca!AO31+'El Paraíso'!AO31+'Fco Morazan'!AO34+'Gracias a Dios'!AO34+Intibucá!AO31+'Islas DLB'!AO34+'La Paz'!AO31+Lempira!AO31+Ocotepeque!AO34+Olancho!AO34+'Santa Barbara'!AO31+Valle!AO34+Yoro!AO31</f>
        <v>44</v>
      </c>
      <c r="AD28" s="104">
        <f>AC28/$C$28</f>
        <v>0.14814814814814814</v>
      </c>
      <c r="AE28" s="48" t="s">
        <v>29</v>
      </c>
      <c r="AF28" s="55">
        <f>Atlantida!AQ34+Colon!AQ34+Comayagua!AQ34+Copán!AQ31+Cortes!AQ34+Choluteca!AQ31+'El Paraíso'!AQ31+'Fco Morazan'!AQ34+'Gracias a Dios'!AQ34+Intibucá!AQ31+'Islas DLB'!AQ34+'La Paz'!AQ31+Lempira!AQ31+Ocotepeque!AQ34+Olancho!AQ34+'Santa Barbara'!AQ31+Valle!AQ34+Yoro!AQ31</f>
        <v>16</v>
      </c>
      <c r="AG28" s="84">
        <f>AF28/$C$28</f>
        <v>5.387205387205387E-2</v>
      </c>
      <c r="AH28" s="125" t="s">
        <v>119</v>
      </c>
      <c r="AI28" s="48" t="s">
        <v>4</v>
      </c>
      <c r="AJ28" s="48">
        <f>Atlantida!AT34+Colon!AT34+Comayagua!AT34+Copán!AT31+Cortes!AT34+Choluteca!AT31+'El Paraíso'!AT31+'Fco Morazan'!AT34+'Gracias a Dios'!AT34+Intibucá!AT31+'Islas DLB'!AT34+'La Paz'!AT31+Lempira!AT31+Ocotepeque!AT34+Olancho!AT34+'Santa Barbara'!AT31+Valle!AT34+Yoro!AT31</f>
        <v>40</v>
      </c>
      <c r="AK28" s="104">
        <f>AJ28/$C$29</f>
        <v>0.27777777777777779</v>
      </c>
      <c r="AL28" s="48" t="s">
        <v>7</v>
      </c>
      <c r="AM28" s="48">
        <f>Atlantida!AV34+Colon!AV34+Comayagua!AV34+Copán!AV31+Cortes!AV34+Choluteca!AV31+'El Paraíso'!AV31+'Fco Morazan'!AV34+'Gracias a Dios'!AV34+Intibucá!AV31+'Islas DLB'!AV34+'La Paz'!AV31+Lempira!AV31+Ocotepeque!AV34+Olancho!AV34+'Santa Barbara'!AV31+Valle!AV34+Yoro!AV31</f>
        <v>12</v>
      </c>
      <c r="AN28" s="104">
        <f>AM28/$C$29</f>
        <v>8.3333333333333329E-2</v>
      </c>
      <c r="AO28" s="48" t="s">
        <v>29</v>
      </c>
      <c r="AP28" s="55">
        <f>Atlantida!AX34+Colon!AX34+Comayagua!AX34+Copán!AX31+Cortes!AX34+Choluteca!AX31+'El Paraíso'!AX31+'Fco Morazan'!AX34+'Gracias a Dios'!AX34+Intibucá!AX31+'Islas DLB'!AX34+'La Paz'!AX31+Lempira!AX31+Ocotepeque!AX34+Olancho!AX34+'Santa Barbara'!AX31+Valle!AX34+Yoro!AX31</f>
        <v>6</v>
      </c>
      <c r="AQ28" s="105">
        <f>AP28/$C$29</f>
        <v>4.1666666666666664E-2</v>
      </c>
    </row>
    <row r="29" spans="1:43" ht="15.75" thickBot="1" x14ac:dyDescent="0.3">
      <c r="A29" s="109"/>
      <c r="B29" s="9" t="s">
        <v>28</v>
      </c>
      <c r="C29" s="40">
        <f>Atlantida!W35+Colon!W35+Comayagua!W35+Copán!W32+Cortes!W35+Choluteca!W32+'El Paraíso'!W32+'Fco Morazan'!W35+'Gracias a Dios'!W35+Intibucá!W32+'Islas DLB'!W35+'La Paz'!W32+Lempira!W32+Ocotepeque!W35+Olancho!W35+'Santa Barbara'!W32+Valle!W35+Yoro!W32</f>
        <v>144</v>
      </c>
      <c r="D29" s="107"/>
      <c r="E29" s="37">
        <f t="shared" si="1"/>
        <v>0.21951219512195122</v>
      </c>
      <c r="F29" s="120"/>
      <c r="G29" s="6" t="s">
        <v>115</v>
      </c>
      <c r="H29" s="51">
        <f>Atlantida!Z35+Colon!Z35+Comayagua!Z35+Copán!Z32+Cortes!Z35+Choluteca!Z32+'El Paraíso'!Z32+'Fco Morazan'!Z35+'Gracias a Dios'!Z35+Intibucá!Z32+'Islas DLB'!Z35+'La Paz'!Z32+Lempira!Z32+Ocotepeque!Z35+Olancho!Z35+'Santa Barbara'!Z32+Valle!Z35+Yoro!Z32</f>
        <v>148</v>
      </c>
      <c r="I29" s="84">
        <f t="shared" ref="I29:I30" si="21">H29/$C$28</f>
        <v>0.49831649831649832</v>
      </c>
      <c r="J29" s="126"/>
      <c r="K29" s="6" t="s">
        <v>115</v>
      </c>
      <c r="L29" s="51">
        <f>Atlantida!AC35+Colon!AC35+Comayagua!AC35+Copán!AC32+Cortes!AC35+Choluteca!AC32+'El Paraíso'!AC32+'Fco Morazan'!AC35+'Gracias a Dios'!AC35+Intibucá!AC32+'Islas DLB'!AC35+'La Paz'!AC32+Lempira!AC32+Ocotepeque!AC35+Olancho!AC35+'Santa Barbara'!AC32+Valle!AC35+Yoro!AC32</f>
        <v>68</v>
      </c>
      <c r="M29" s="99">
        <f t="shared" ref="M29:M30" si="22">L29/$C$29</f>
        <v>0.47222222222222221</v>
      </c>
      <c r="N29" s="126"/>
      <c r="O29" s="6" t="s">
        <v>115</v>
      </c>
      <c r="P29" s="57">
        <f>Atlantida!AF35+Colon!AF35+Comayagua!AF35+Copán!AF32+Cortes!AF35+Choluteca!AF32+'El Paraíso'!AF32+'Fco Morazan'!AF35+'Gracias a Dios'!AF35+Intibucá!AF32+'Islas DLB'!AF35+'La Paz'!AF32+Lempira!AF32+Ocotepeque!AF35+Olancho!AF35+'Santa Barbara'!AF32+Valle!AF35+Yoro!AF32</f>
        <v>74</v>
      </c>
      <c r="Q29" s="91">
        <f t="shared" ref="Q29:Q30" si="23">P29/$C$30</f>
        <v>0.56060606060606055</v>
      </c>
      <c r="R29" s="120"/>
      <c r="S29" s="57" t="s">
        <v>115</v>
      </c>
      <c r="T29" s="101">
        <f>Atlantida!AI35+Colon!AI35+Comayagua!AI35+Copán!AI32+Cortes!AI35+Choluteca!AI32+'El Paraíso'!AI32+'Fco Morazan'!AI35+'Gracias a Dios'!AI35+Intibucá!AI32+'Islas DLB'!AI35+'La Paz'!AI32+Lempira!AI32+Ocotepeque!AI35+Olancho!AI35+'Santa Barbara'!AI32+Valle!AI35+Yoro!AI32</f>
        <v>40</v>
      </c>
      <c r="U29" s="103">
        <f t="shared" ref="U29:U30" si="24">T29/$C$31</f>
        <v>0.48192771084337349</v>
      </c>
      <c r="V29" s="74"/>
      <c r="W29" s="94"/>
      <c r="X29" s="135"/>
      <c r="Y29" s="50" t="s">
        <v>5</v>
      </c>
      <c r="Z29" s="6">
        <f>Atlantida!AM35+Colon!AM35+Comayagua!AM35+Copán!AM32+Cortes!AM35+Choluteca!AM32+'El Paraíso'!AM32+'Fco Morazan'!AM35+'Gracias a Dios'!AM35+Intibucá!AM32+'Islas DLB'!AM35+'La Paz'!AM32+Lempira!AM32+Ocotepeque!AM35+Olancho!AM35+'Santa Barbara'!AM32+Valle!AM35+Yoro!AM32</f>
        <v>38</v>
      </c>
      <c r="AA29" s="104">
        <f t="shared" ref="AA29:AA30" si="25">Z29/$C$28</f>
        <v>0.12794612794612795</v>
      </c>
      <c r="AB29" s="40" t="s">
        <v>8</v>
      </c>
      <c r="AC29" s="6">
        <f>Atlantida!AO35+Colon!AO35+Comayagua!AO35+Copán!AO32+Cortes!AO35+Choluteca!AO32+'El Paraíso'!AO32+'Fco Morazan'!AO35+'Gracias a Dios'!AO35+Intibucá!AO32+'Islas DLB'!AO35+'La Paz'!AO32+Lempira!AO32+Ocotepeque!AO35+Olancho!AO35+'Santa Barbara'!AO32+Valle!AO35+Yoro!AO32</f>
        <v>40</v>
      </c>
      <c r="AD29" s="104">
        <f t="shared" ref="AD29:AD30" si="26">AC29/$C$28</f>
        <v>0.13468013468013468</v>
      </c>
      <c r="AE29" s="6"/>
      <c r="AF29" s="57"/>
      <c r="AG29" s="85"/>
      <c r="AH29" s="126"/>
      <c r="AI29" s="6" t="s">
        <v>5</v>
      </c>
      <c r="AJ29" s="6">
        <f>Atlantida!AT35+Colon!AT35+Comayagua!AT35+Copán!AT32+Cortes!AT35+Choluteca!AT32+'El Paraíso'!AT32+'Fco Morazan'!AT35+'Gracias a Dios'!AT35+Intibucá!AT32+'Islas DLB'!AT35+'La Paz'!AT32+Lempira!AT32+Ocotepeque!AT35+Olancho!AT35+'Santa Barbara'!AT32+Valle!AT35+Yoro!AT32</f>
        <v>21</v>
      </c>
      <c r="AK29" s="104">
        <f t="shared" ref="AK29:AK30" si="27">AJ29/$C$29</f>
        <v>0.14583333333333334</v>
      </c>
      <c r="AL29" s="40" t="s">
        <v>8</v>
      </c>
      <c r="AM29" s="6">
        <f>Atlantida!AV35+Colon!AV35+Comayagua!AV35+Copán!AV32+Cortes!AV35+Choluteca!AV32+'El Paraíso'!AV32+'Fco Morazan'!AV35+'Gracias a Dios'!AV35+Intibucá!AV32+'Islas DLB'!AV35+'La Paz'!AV32+Lempira!AV32+Ocotepeque!AV35+Olancho!AV35+'Santa Barbara'!AV32+Valle!AV35+Yoro!AV32</f>
        <v>17</v>
      </c>
      <c r="AN29" s="104">
        <f t="shared" ref="AN29:AN30" si="28">AM29/$C$29</f>
        <v>0.11805555555555555</v>
      </c>
      <c r="AO29" s="6"/>
      <c r="AP29" s="57"/>
      <c r="AQ29" s="105"/>
    </row>
    <row r="30" spans="1:43" ht="15.75" thickBot="1" x14ac:dyDescent="0.3">
      <c r="A30" s="109"/>
      <c r="B30" s="9" t="s">
        <v>26</v>
      </c>
      <c r="C30" s="40">
        <f>Atlantida!W36+Colon!W36+Comayagua!W36+Copán!W33+Cortes!W36+Choluteca!W33+'El Paraíso'!W33+'Fco Morazan'!W36+'Gracias a Dios'!W36+Intibucá!W33+'Islas DLB'!W36+'La Paz'!W33+Lempira!W33+Ocotepeque!W36+Olancho!W36+'Santa Barbara'!W33+Valle!W36+Yoro!W33</f>
        <v>132</v>
      </c>
      <c r="D30" s="107"/>
      <c r="E30" s="37">
        <f t="shared" si="1"/>
        <v>0.20121951219512196</v>
      </c>
      <c r="F30" s="121"/>
      <c r="G30" s="26" t="s">
        <v>29</v>
      </c>
      <c r="H30" s="52">
        <f>Atlantida!Z36+Colon!Z36+Comayagua!Z36+Copán!Z33+Cortes!Z36+Choluteca!Z33+'El Paraíso'!Z33+'Fco Morazan'!Z36+'Gracias a Dios'!Z36+Intibucá!Z33+'Islas DLB'!Z36+'La Paz'!Z33+Lempira!Z33+Ocotepeque!Z36+Olancho!Z36+'Santa Barbara'!Z33+Valle!Z36+Yoro!Z33</f>
        <v>14</v>
      </c>
      <c r="I30" s="99">
        <f t="shared" si="21"/>
        <v>4.7138047138047139E-2</v>
      </c>
      <c r="J30" s="127"/>
      <c r="K30" s="26" t="s">
        <v>29</v>
      </c>
      <c r="L30" s="52">
        <f>Atlantida!AC36+Colon!AC36+Comayagua!AC36+Copán!AC33+Cortes!AC36+Choluteca!AC33+'El Paraíso'!AC33+'Fco Morazan'!AC36+'Gracias a Dios'!AC36+Intibucá!AC33+'Islas DLB'!AC36+'La Paz'!AC33+Lempira!AC33+Ocotepeque!AC36+Olancho!AC36+'Santa Barbara'!AC33+Valle!AC36+Yoro!AC33</f>
        <v>7</v>
      </c>
      <c r="M30" s="99">
        <f t="shared" si="22"/>
        <v>4.8611111111111112E-2</v>
      </c>
      <c r="N30" s="127"/>
      <c r="O30" s="26" t="s">
        <v>29</v>
      </c>
      <c r="P30" s="58">
        <f>Atlantida!AF36+Colon!AF36+Comayagua!AF36+Copán!AF33+Cortes!AF36+Choluteca!AF33+'El Paraíso'!AF33+'Fco Morazan'!AF36+'Gracias a Dios'!AF36+Intibucá!AF33+'Islas DLB'!AF36+'La Paz'!AF33+Lempira!AF33+Ocotepeque!AF36+Olancho!AF36+'Santa Barbara'!AF33+Valle!AF36+Yoro!AF33</f>
        <v>4</v>
      </c>
      <c r="Q30" s="91">
        <f t="shared" si="23"/>
        <v>3.0303030303030304E-2</v>
      </c>
      <c r="R30" s="121"/>
      <c r="S30" s="58" t="s">
        <v>29</v>
      </c>
      <c r="T30" s="102">
        <f>Atlantida!AI36+Colon!AI36+Comayagua!AI36+Copán!AI33+Cortes!AI36+Choluteca!AI33+'El Paraíso'!AI33+'Fco Morazan'!AI36+'Gracias a Dios'!AI36+Intibucá!AI33+'Islas DLB'!AI36+'La Paz'!AI33+Lempira!AI33+Ocotepeque!AI36+Olancho!AI36+'Santa Barbara'!AI33+Valle!AI36+Yoro!AI33</f>
        <v>6</v>
      </c>
      <c r="U30" s="103">
        <f t="shared" si="24"/>
        <v>7.2289156626506021E-2</v>
      </c>
      <c r="V30" s="74"/>
      <c r="W30" s="94"/>
      <c r="X30" s="136"/>
      <c r="Y30" s="59" t="s">
        <v>6</v>
      </c>
      <c r="Z30" s="26">
        <f>Atlantida!AM36+Colon!AM36+Comayagua!AM36+Copán!AM33+Cortes!AM36+Choluteca!AM33+'El Paraíso'!AM33+'Fco Morazan'!AM36+'Gracias a Dios'!AM36+Intibucá!AM33+'Islas DLB'!AM36+'La Paz'!AM33+Lempira!AM33+Ocotepeque!AM36+Olancho!AM36+'Santa Barbara'!AM33+Valle!AM36+Yoro!AM33</f>
        <v>33</v>
      </c>
      <c r="AA30" s="104">
        <f t="shared" si="25"/>
        <v>0.1111111111111111</v>
      </c>
      <c r="AB30" s="26" t="s">
        <v>9</v>
      </c>
      <c r="AC30" s="26">
        <f>Atlantida!AO36+Colon!AO36+Comayagua!AO36+Copán!AO33+Cortes!AO36+Choluteca!AO33+'El Paraíso'!AO33+'Fco Morazan'!AO36+'Gracias a Dios'!AO36+Intibucá!AO33+'Islas DLB'!AO36+'La Paz'!AO33+Lempira!AO33+Ocotepeque!AO36+Olancho!AO36+'Santa Barbara'!AO33+Valle!AO36+Yoro!AO33</f>
        <v>73</v>
      </c>
      <c r="AD30" s="104">
        <f t="shared" si="26"/>
        <v>0.24579124579124578</v>
      </c>
      <c r="AE30" s="26"/>
      <c r="AF30" s="58"/>
      <c r="AG30" s="86"/>
      <c r="AH30" s="127"/>
      <c r="AI30" s="26" t="s">
        <v>6</v>
      </c>
      <c r="AJ30" s="26">
        <f>Atlantida!AT36+Colon!AT36+Comayagua!AT36+Copán!AT33+Cortes!AT36+Choluteca!AT33+'El Paraíso'!AT33+'Fco Morazan'!AT36+'Gracias a Dios'!AT36+Intibucá!AT33+'Islas DLB'!AT36+'La Paz'!AT33+Lempira!AT33+Ocotepeque!AT36+Olancho!AT36+'Santa Barbara'!AT33+Valle!AT36+Yoro!AT33</f>
        <v>29</v>
      </c>
      <c r="AK30" s="104">
        <f t="shared" si="27"/>
        <v>0.2013888888888889</v>
      </c>
      <c r="AL30" s="26" t="s">
        <v>9</v>
      </c>
      <c r="AM30" s="26">
        <f>Atlantida!AV36+Colon!AV36+Comayagua!AV36+Copán!AV33+Cortes!AV36+Choluteca!AV33+'El Paraíso'!AV33+'Fco Morazan'!AV36+'Gracias a Dios'!AV36+Intibucá!AV33+'Islas DLB'!AV36+'La Paz'!AV33+Lempira!AV33+Ocotepeque!AV36+Olancho!AV36+'Santa Barbara'!AV33+Valle!AV36+Yoro!AV33</f>
        <v>19</v>
      </c>
      <c r="AN30" s="104">
        <f t="shared" si="28"/>
        <v>0.13194444444444445</v>
      </c>
      <c r="AO30" s="26"/>
      <c r="AP30" s="58"/>
      <c r="AQ30" s="105"/>
    </row>
    <row r="31" spans="1:43" ht="15.75" thickBot="1" x14ac:dyDescent="0.3">
      <c r="A31" s="109"/>
      <c r="B31" s="9" t="s">
        <v>34</v>
      </c>
      <c r="C31" s="40">
        <f>Atlantida!W37+Colon!W37+Comayagua!W37+Copán!W34+Cortes!W37+Choluteca!W34+'El Paraíso'!W34+'Fco Morazan'!W37+'Gracias a Dios'!W37+Intibucá!W34+'Islas DLB'!W37+'La Paz'!W34+Lempira!W34+Ocotepeque!W37+Olancho!W37+'Santa Barbara'!W34+Valle!W37+Yoro!W34</f>
        <v>83</v>
      </c>
      <c r="D31" s="107"/>
      <c r="E31" s="37">
        <f t="shared" si="1"/>
        <v>0.12652439024390244</v>
      </c>
      <c r="F31" s="97"/>
      <c r="G31" s="60"/>
      <c r="H31" s="60"/>
      <c r="I31" s="87"/>
      <c r="J31" s="60"/>
      <c r="K31" s="60"/>
      <c r="L31" s="60"/>
      <c r="M31" s="87"/>
      <c r="N31" s="60"/>
      <c r="O31" s="60"/>
      <c r="P31" s="64"/>
      <c r="Q31" s="92"/>
      <c r="R31" s="79"/>
      <c r="S31" s="64">
        <f>Atlantida!AH37+Colon!AH37+Comayagua!AH37+Copán!AH34+Cortes!AH37+Choluteca!AH34+'El Paraíso'!AH34+'Fco Morazan'!AH37+'Gracias a Dios'!AH37+Intibucá!AH34+'Islas DLB'!AH37+'La Paz'!AH34+Lempira!AH34+Ocotepeque!AH37+Olancho!AH37+'Santa Barbara'!AH34+Valle!AH37+Yoro!AH34</f>
        <v>0</v>
      </c>
      <c r="T31" s="92"/>
      <c r="U31" s="79"/>
      <c r="V31" s="64"/>
      <c r="W31" s="94"/>
      <c r="X31" s="75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77"/>
      <c r="AQ31" s="4"/>
    </row>
    <row r="32" spans="1:43" ht="19.5" customHeight="1" thickBot="1" x14ac:dyDescent="0.3">
      <c r="A32" s="109" t="s">
        <v>42</v>
      </c>
      <c r="B32" s="9" t="s">
        <v>20</v>
      </c>
      <c r="C32" s="40">
        <f>Atlantida!W38+Colon!W38+Comayagua!W38+Copán!W35+Cortes!W38+Choluteca!W35+'El Paraíso'!W35+'Fco Morazan'!W38+'Gracias a Dios'!W38+Intibucá!W35+'Islas DLB'!W38+'La Paz'!W35+Lempira!W35+Ocotepeque!W38+Olancho!W38+'Santa Barbara'!W35+Valle!W38+Yoro!W35</f>
        <v>381</v>
      </c>
      <c r="D32" s="107" t="s">
        <v>113</v>
      </c>
      <c r="E32" s="37">
        <f t="shared" si="1"/>
        <v>0.58079268292682928</v>
      </c>
      <c r="F32" s="119" t="s">
        <v>118</v>
      </c>
      <c r="G32" s="48" t="s">
        <v>114</v>
      </c>
      <c r="H32" s="49">
        <f>Atlantida!Z38+Colon!Z38+Comayagua!Z38+Copán!Z35+Cortes!Z38+Choluteca!Z35+'El Paraíso'!Z35+'Fco Morazan'!Z38+'Gracias a Dios'!Z38+Intibucá!Z35+'Islas DLB'!Z38+'La Paz'!Z35+Lempira!Z35+Ocotepeque!Z38+Olancho!Z38+'Santa Barbara'!Z35+Valle!Z38+Yoro!Z35</f>
        <v>185</v>
      </c>
      <c r="I32" s="84">
        <f>H32/$C$32</f>
        <v>0.48556430446194226</v>
      </c>
      <c r="J32" s="125" t="s">
        <v>117</v>
      </c>
      <c r="K32" s="48" t="s">
        <v>114</v>
      </c>
      <c r="L32" s="49">
        <f>Atlantida!AC38+Colon!AC38+Comayagua!AC38+Copán!AC35+Cortes!AC38+Choluteca!AC35+'El Paraíso'!AC35+'Fco Morazan'!AC38+'Gracias a Dios'!AC38+Intibucá!AC35+'Islas DLB'!AC38+'La Paz'!AC35+Lempira!AC35+Ocotepeque!AC38+Olancho!AC38+'Santa Barbara'!AC35+Valle!AC38+Yoro!AC35</f>
        <v>110</v>
      </c>
      <c r="M32" s="84">
        <f>L32/$C$33</f>
        <v>0.4</v>
      </c>
      <c r="N32" s="125" t="s">
        <v>118</v>
      </c>
      <c r="O32" s="48" t="s">
        <v>4</v>
      </c>
      <c r="P32" s="55">
        <f>Atlantida!AF38+Colon!AF38+Comayagua!AF38+Copán!AF35+Cortes!AF38+Choluteca!AF35+'El Paraíso'!AF35+'Fco Morazan'!AF38+'Gracias a Dios'!AF38+Intibucá!AF35+'Islas DLB'!AF38+'La Paz'!AF35+Lempira!AF35+Ocotepeque!AF38+Olancho!AF38+'Santa Barbara'!AF35+Valle!AF38+Yoro!AF35</f>
        <v>76</v>
      </c>
      <c r="Q32" s="88">
        <f>P32/$C$32</f>
        <v>0.1994750656167979</v>
      </c>
      <c r="R32" s="56" t="s">
        <v>7</v>
      </c>
      <c r="S32" s="55">
        <f>Atlantida!AH38+Colon!AH38+Comayagua!AH38+Copán!AH35+Cortes!AH38+Choluteca!AH35+'El Paraíso'!AH35+'Fco Morazan'!AH38+'Gracias a Dios'!AH38+Intibucá!AH35+'Islas DLB'!AH38+'La Paz'!AH35+Lempira!AH35+Ocotepeque!AH38+Olancho!AH38+'Santa Barbara'!AH35+Valle!AH38+Yoro!AH35</f>
        <v>45</v>
      </c>
      <c r="T32" s="88">
        <f>S32/$C$32</f>
        <v>0.11811023622047244</v>
      </c>
      <c r="U32" s="56" t="s">
        <v>29</v>
      </c>
      <c r="V32" s="55">
        <f>Atlantida!AJ38+Colon!AJ38+Comayagua!AJ38+Copán!AJ35+Cortes!AJ38+Choluteca!AJ35+'El Paraíso'!AJ35+'Fco Morazan'!AJ38+'Gracias a Dios'!AJ38+Intibucá!AJ35+'Islas DLB'!AJ38+'La Paz'!AJ35+Lempira!AJ35+Ocotepeque!AJ38+Olancho!AJ38+'Santa Barbara'!AJ35+Valle!AJ38+Yoro!AJ35</f>
        <v>23</v>
      </c>
      <c r="W32" s="88">
        <f>V32/$C$32</f>
        <v>6.0367454068241469E-2</v>
      </c>
      <c r="X32" s="50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57"/>
      <c r="AQ32" s="4"/>
    </row>
    <row r="33" spans="1:43" ht="19.5" customHeight="1" thickBot="1" x14ac:dyDescent="0.3">
      <c r="A33" s="109"/>
      <c r="B33" s="9" t="s">
        <v>25</v>
      </c>
      <c r="C33" s="40">
        <f>Atlantida!W39+Colon!W39+Comayagua!W39+Copán!W36+Cortes!W39+Choluteca!W36+'El Paraíso'!W36+'Fco Morazan'!W39+'Gracias a Dios'!W39+Intibucá!W36+'Islas DLB'!W39+'La Paz'!W36+Lempira!W36+Ocotepeque!W39+Olancho!W39+'Santa Barbara'!W36+Valle!W39+Yoro!W36</f>
        <v>275</v>
      </c>
      <c r="D33" s="107"/>
      <c r="E33" s="37">
        <f t="shared" si="1"/>
        <v>0.41920731707317072</v>
      </c>
      <c r="F33" s="120"/>
      <c r="G33" s="6" t="s">
        <v>115</v>
      </c>
      <c r="H33" s="51">
        <f>Atlantida!Z39+Colon!Z39+Comayagua!Z39+Copán!Z36+Cortes!Z39+Choluteca!Z36+'El Paraíso'!Z36+'Fco Morazan'!Z39+'Gracias a Dios'!Z39+Intibucá!Z36+'Islas DLB'!Z39+'La Paz'!Z36+Lempira!Z36+Ocotepeque!Z39+Olancho!Z39+'Santa Barbara'!Z36+Valle!Z39+Yoro!Z36</f>
        <v>178</v>
      </c>
      <c r="I33" s="84">
        <f t="shared" ref="I33:I34" si="29">H33/$C$32</f>
        <v>0.46719160104986879</v>
      </c>
      <c r="J33" s="126"/>
      <c r="K33" s="6" t="s">
        <v>115</v>
      </c>
      <c r="L33" s="51">
        <f>Atlantida!AC39+Colon!AC39+Comayagua!AC39+Copán!AC36+Cortes!AC39+Choluteca!AC36+'El Paraíso'!AC36+'Fco Morazan'!AC39+'Gracias a Dios'!AC39+Intibucá!AC36+'Islas DLB'!AC39+'La Paz'!AC36+Lempira!AC36+Ocotepeque!AC39+Olancho!AC39+'Santa Barbara'!AC36+Valle!AC39+Yoro!AC36</f>
        <v>152</v>
      </c>
      <c r="M33" s="84">
        <f t="shared" ref="M33:M34" si="30">L33/$C$33</f>
        <v>0.55272727272727273</v>
      </c>
      <c r="N33" s="126"/>
      <c r="O33" s="6" t="s">
        <v>5</v>
      </c>
      <c r="P33" s="57">
        <f>Atlantida!AF39+Colon!AF39+Comayagua!AF39+Copán!AF36+Cortes!AF39+Choluteca!AF36+'El Paraíso'!AF36+'Fco Morazan'!AF39+'Gracias a Dios'!AF39+Intibucá!AF36+'Islas DLB'!AF39+'La Paz'!AF36+Lempira!AF36+Ocotepeque!AF39+Olancho!AF39+'Santa Barbara'!AF36+Valle!AF39+Yoro!AF36</f>
        <v>50</v>
      </c>
      <c r="Q33" s="88">
        <f t="shared" ref="Q33:Q34" si="31">P33/$C$32</f>
        <v>0.13123359580052493</v>
      </c>
      <c r="R33" s="76" t="s">
        <v>8</v>
      </c>
      <c r="S33" s="57">
        <f>Atlantida!AH39+Colon!AH39+Comayagua!AH39+Copán!AH36+Cortes!AH39+Choluteca!AH36+'El Paraíso'!AH36+'Fco Morazan'!AH39+'Gracias a Dios'!AH39+Intibucá!AH36+'Islas DLB'!AH39+'La Paz'!AH36+Lempira!AH36+Ocotepeque!AH39+Olancho!AH39+'Santa Barbara'!AH36+Valle!AH39+Yoro!AH36</f>
        <v>48</v>
      </c>
      <c r="T33" s="88">
        <f t="shared" ref="T33:T34" si="32">S33/$C$32</f>
        <v>0.12598425196850394</v>
      </c>
      <c r="U33" s="50"/>
      <c r="V33" s="57"/>
      <c r="W33" s="89"/>
      <c r="X33" s="50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57"/>
      <c r="AQ33" s="4"/>
    </row>
    <row r="34" spans="1:43" ht="19.5" customHeight="1" thickBot="1" x14ac:dyDescent="0.3">
      <c r="A34" s="109"/>
      <c r="B34" s="9" t="s">
        <v>29</v>
      </c>
      <c r="C34" s="40">
        <f>Atlantida!W40+Colon!W40+Comayagua!W40+Copán!W37+Cortes!W40+Choluteca!W37+'El Paraíso'!W37+'Fco Morazan'!W40+'Gracias a Dios'!W40+Intibucá!W37+'Islas DLB'!W40+'La Paz'!W37+Lempira!W37+Ocotepeque!W40+Olancho!W40+'Santa Barbara'!W37+Valle!W40+Yoro!W37</f>
        <v>0</v>
      </c>
      <c r="D34" s="107"/>
      <c r="E34" s="37">
        <f t="shared" si="1"/>
        <v>0</v>
      </c>
      <c r="F34" s="131"/>
      <c r="G34" s="34" t="s">
        <v>29</v>
      </c>
      <c r="H34" s="53">
        <f>Atlantida!Z40+Colon!Z40+Comayagua!Z40+Copán!Z37+Cortes!Z40+Choluteca!Z37+'El Paraíso'!Z37+'Fco Morazan'!Z40+'Gracias a Dios'!Z40+Intibucá!Z37+'Islas DLB'!Z40+'La Paz'!Z37+Lempira!Z37+Ocotepeque!Z40+Olancho!Z40+'Santa Barbara'!Z37+Valle!Z40+Yoro!Z37</f>
        <v>18</v>
      </c>
      <c r="I34" s="95">
        <f t="shared" si="29"/>
        <v>4.7244094488188976E-2</v>
      </c>
      <c r="J34" s="127"/>
      <c r="K34" s="26" t="s">
        <v>29</v>
      </c>
      <c r="L34" s="52">
        <f>Atlantida!AC40+Colon!AC40+Comayagua!AC40+Copán!AC37+Cortes!AC40+Choluteca!AC37+'El Paraíso'!AC37+'Fco Morazan'!AC40+'Gracias a Dios'!AC40+Intibucá!AC37+'Islas DLB'!AC40+'La Paz'!AC37+Lempira!AC37+Ocotepeque!AC40+Olancho!AC40+'Santa Barbara'!AC37+Valle!AC40+Yoro!AC37</f>
        <v>13</v>
      </c>
      <c r="M34" s="84">
        <f t="shared" si="30"/>
        <v>4.7272727272727272E-2</v>
      </c>
      <c r="N34" s="127"/>
      <c r="O34" s="26" t="s">
        <v>6</v>
      </c>
      <c r="P34" s="58">
        <f>Atlantida!AF40+Colon!AF40+Comayagua!AF40+Copán!AF37+Cortes!AF40+Choluteca!AF37+'El Paraíso'!AF37+'Fco Morazan'!AF40+'Gracias a Dios'!AF40+Intibucá!AF37+'Islas DLB'!AF40+'La Paz'!AF37+Lempira!AF37+Ocotepeque!AF40+Olancho!AF40+'Santa Barbara'!AF37+Valle!AF40+Yoro!AF37</f>
        <v>49</v>
      </c>
      <c r="Q34" s="88">
        <f t="shared" si="31"/>
        <v>0.12860892388451445</v>
      </c>
      <c r="R34" s="59" t="s">
        <v>9</v>
      </c>
      <c r="S34" s="58">
        <f>Atlantida!AH40+Colon!AH40+Comayagua!AH40+Copán!AH37+Cortes!AH40+Choluteca!AH37+'El Paraíso'!AH37+'Fco Morazan'!AH40+'Gracias a Dios'!AH40+Intibucá!AH37+'Islas DLB'!AH40+'La Paz'!AH37+Lempira!AH37+Ocotepeque!AH40+Olancho!AH40+'Santa Barbara'!AH37+Valle!AH40+Yoro!AH37</f>
        <v>90</v>
      </c>
      <c r="T34" s="88">
        <f t="shared" si="32"/>
        <v>0.23622047244094488</v>
      </c>
      <c r="U34" s="59"/>
      <c r="V34" s="58"/>
      <c r="W34" s="90"/>
      <c r="X34" s="50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57"/>
      <c r="AQ34" s="4"/>
    </row>
    <row r="35" spans="1:43" ht="15.75" thickBot="1" x14ac:dyDescent="0.3">
      <c r="A35" s="109" t="s">
        <v>43</v>
      </c>
      <c r="B35" s="9" t="s">
        <v>20</v>
      </c>
      <c r="C35" s="40">
        <f>Atlantida!W41+Colon!W41+Comayagua!W41+Copán!W38+Cortes!W41+Choluteca!W38+'El Paraíso'!W38+'Fco Morazan'!W41+'Gracias a Dios'!W41+Intibucá!W38+'Islas DLB'!W41+'La Paz'!W38+Lempira!W38+Ocotepeque!W41+Olancho!W41+'Santa Barbara'!W38+Valle!W41+Yoro!W38</f>
        <v>380</v>
      </c>
      <c r="D35" s="107" t="s">
        <v>113</v>
      </c>
      <c r="E35" s="37">
        <f t="shared" si="1"/>
        <v>0.57926829268292679</v>
      </c>
      <c r="F35" s="119" t="s">
        <v>118</v>
      </c>
      <c r="G35" s="48" t="s">
        <v>114</v>
      </c>
      <c r="H35" s="49">
        <f>Atlantida!Z41+Colon!Z41+Comayagua!Z41+Copán!Z38+Cortes!Z41+Choluteca!Z38+'El Paraíso'!Z38+'Fco Morazan'!Z41+'Gracias a Dios'!Z41+Intibucá!Z38+'Islas DLB'!Z41+'La Paz'!Z38+Lempira!Z38+Ocotepeque!Z41+Olancho!Z41+'Santa Barbara'!Z38+Valle!Z41+Yoro!Z38</f>
        <v>174</v>
      </c>
      <c r="I35" s="96">
        <f>H35/$C$35</f>
        <v>0.45789473684210524</v>
      </c>
      <c r="J35" s="125" t="s">
        <v>117</v>
      </c>
      <c r="K35" s="48" t="s">
        <v>114</v>
      </c>
      <c r="L35" s="49">
        <f>Atlantida!AC41+Colon!AC41+Comayagua!AC41+Copán!AC38+Cortes!AC41+Choluteca!AC38+'El Paraíso'!AC38+'Fco Morazan'!AC41+'Gracias a Dios'!AC41+Intibucá!AC38+'Islas DLB'!AC41+'La Paz'!AC38+Lempira!AC38+Ocotepeque!AC41+Olancho!AC41+'Santa Barbara'!AC38+Valle!AC41+Yoro!AC38</f>
        <v>121</v>
      </c>
      <c r="M35" s="84">
        <f>L35/$C$36</f>
        <v>0.44160583941605841</v>
      </c>
      <c r="N35" s="125" t="s">
        <v>118</v>
      </c>
      <c r="O35" s="48" t="s">
        <v>4</v>
      </c>
      <c r="P35" s="55">
        <f>Atlantida!AF41+Colon!AF41+Comayagua!AF41+Copán!AF38+Cortes!AF41+Choluteca!AF38+'El Paraíso'!AF38+'Fco Morazan'!AF41+'Gracias a Dios'!AF41+Intibucá!AF38+'Islas DLB'!AF41+'La Paz'!AF38+Lempira!AF38+Ocotepeque!AF41+Olancho!AF41+'Santa Barbara'!AF38+Valle!AF41+Yoro!AF38</f>
        <v>71</v>
      </c>
      <c r="Q35" s="88">
        <f>P35/$C$35</f>
        <v>0.18684210526315789</v>
      </c>
      <c r="R35" s="56" t="s">
        <v>7</v>
      </c>
      <c r="S35" s="55">
        <f>Atlantida!AH41+Colon!AH41+Comayagua!AH41+Copán!AH38+Cortes!AH41+Choluteca!AH38+'El Paraíso'!AH38+'Fco Morazan'!AH41+'Gracias a Dios'!AH41+Intibucá!AH38+'Islas DLB'!AH41+'La Paz'!AH38+Lempira!AH38+Ocotepeque!AH41+Olancho!AH41+'Santa Barbara'!AH38+Valle!AH41+Yoro!AH38</f>
        <v>42</v>
      </c>
      <c r="T35" s="88">
        <f>S35/$C$35</f>
        <v>0.11052631578947368</v>
      </c>
      <c r="U35" s="56" t="s">
        <v>29</v>
      </c>
      <c r="V35" s="55">
        <f>Atlantida!AJ41+Colon!AJ41+Comayagua!AJ41+Copán!AJ38+Cortes!AJ41+Choluteca!AJ38+'El Paraíso'!AJ38+'Fco Morazan'!AJ41+'Gracias a Dios'!AJ41+Intibucá!AJ38+'Islas DLB'!AJ41+'La Paz'!AJ38+Lempira!AJ38+Ocotepeque!AJ41+Olancho!AJ41+'Santa Barbara'!AJ38+Valle!AJ41+Yoro!AJ38</f>
        <v>19</v>
      </c>
      <c r="W35" s="88">
        <f>V35/$C$35</f>
        <v>0.05</v>
      </c>
      <c r="X35" s="50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57"/>
      <c r="AQ35" s="4"/>
    </row>
    <row r="36" spans="1:43" ht="15.75" thickBot="1" x14ac:dyDescent="0.3">
      <c r="A36" s="109"/>
      <c r="B36" s="9" t="s">
        <v>25</v>
      </c>
      <c r="C36" s="40">
        <f>Atlantida!W42+Colon!W42+Comayagua!W42+Copán!W39+Cortes!W42+Choluteca!W39+'El Paraíso'!W39+'Fco Morazan'!W42+'Gracias a Dios'!W42+Intibucá!W39+'Islas DLB'!W42+'La Paz'!W39+Lempira!W39+Ocotepeque!W42+Olancho!W42+'Santa Barbara'!W39+Valle!W42+Yoro!W39</f>
        <v>274</v>
      </c>
      <c r="D36" s="107"/>
      <c r="E36" s="37">
        <f t="shared" si="1"/>
        <v>0.41768292682926828</v>
      </c>
      <c r="F36" s="120"/>
      <c r="G36" s="6" t="s">
        <v>115</v>
      </c>
      <c r="H36" s="51">
        <f>Atlantida!Z42+Colon!Z42+Comayagua!Z42+Copán!Z39+Cortes!Z42+Choluteca!Z39+'El Paraíso'!Z39+'Fco Morazan'!Z42+'Gracias a Dios'!Z42+Intibucá!Z39+'Islas DLB'!Z42+'La Paz'!Z39+Lempira!Z39+Ocotepeque!Z42+Olancho!Z42+'Santa Barbara'!Z39+Valle!Z42+Yoro!Z39</f>
        <v>190</v>
      </c>
      <c r="I36" s="96">
        <f t="shared" ref="I36:I37" si="33">H36/$C$35</f>
        <v>0.5</v>
      </c>
      <c r="J36" s="126"/>
      <c r="K36" s="6" t="s">
        <v>115</v>
      </c>
      <c r="L36" s="51">
        <f>Atlantida!AC42+Colon!AC42+Comayagua!AC42+Copán!AC39+Cortes!AC42+Choluteca!AC39+'El Paraíso'!AC39+'Fco Morazan'!AC42+'Gracias a Dios'!AC42+Intibucá!AC39+'Islas DLB'!AC42+'La Paz'!AC39+Lempira!AC39+Ocotepeque!AC42+Olancho!AC42+'Santa Barbara'!AC39+Valle!AC42+Yoro!AC39</f>
        <v>138</v>
      </c>
      <c r="M36" s="84">
        <f t="shared" ref="M36:M37" si="34">L36/$C$36</f>
        <v>0.5036496350364964</v>
      </c>
      <c r="N36" s="126"/>
      <c r="O36" s="6" t="s">
        <v>5</v>
      </c>
      <c r="P36" s="57">
        <f>Atlantida!AF42+Colon!AF42+Comayagua!AF42+Copán!AF39+Cortes!AF42+Choluteca!AF39+'El Paraíso'!AF39+'Fco Morazan'!AF42+'Gracias a Dios'!AF42+Intibucá!AF39+'Islas DLB'!AF42+'La Paz'!AF39+Lempira!AF39+Ocotepeque!AF42+Olancho!AF42+'Santa Barbara'!AF39+Valle!AF42+Yoro!AF39</f>
        <v>47</v>
      </c>
      <c r="Q36" s="88">
        <f t="shared" ref="Q36:Q37" si="35">P36/$C$35</f>
        <v>0.12368421052631579</v>
      </c>
      <c r="R36" s="76" t="s">
        <v>8</v>
      </c>
      <c r="S36" s="57">
        <f>Atlantida!AH42+Colon!AH42+Comayagua!AH42+Copán!AH39+Cortes!AH42+Choluteca!AH39+'El Paraíso'!AH39+'Fco Morazan'!AH42+'Gracias a Dios'!AH42+Intibucá!AH39+'Islas DLB'!AH42+'La Paz'!AH39+Lempira!AH39+Ocotepeque!AH42+Olancho!AH42+'Santa Barbara'!AH39+Valle!AH42+Yoro!AH39</f>
        <v>54</v>
      </c>
      <c r="T36" s="88">
        <f t="shared" ref="T36:T37" si="36">S36/$C$35</f>
        <v>0.14210526315789473</v>
      </c>
      <c r="U36" s="50"/>
      <c r="V36" s="57"/>
      <c r="W36" s="89"/>
      <c r="X36" s="50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57"/>
      <c r="AQ36" s="4"/>
    </row>
    <row r="37" spans="1:43" ht="15.75" thickBot="1" x14ac:dyDescent="0.3">
      <c r="A37" s="110"/>
      <c r="B37" s="13" t="s">
        <v>29</v>
      </c>
      <c r="C37" s="98">
        <f>Atlantida!W43+Colon!W43+Comayagua!W43+Copán!W40+Cortes!W43+Choluteca!W40+'El Paraíso'!W40+'Fco Morazan'!W43+'Gracias a Dios'!W43+Intibucá!W40+'Islas DLB'!W43+'La Paz'!W40+Lempira!W40+Ocotepeque!W43+Olancho!W43+'Santa Barbara'!W40+Valle!W43+Yoro!W40</f>
        <v>2</v>
      </c>
      <c r="D37" s="108"/>
      <c r="E37" s="38">
        <f t="shared" si="1"/>
        <v>3.0487804878048782E-3</v>
      </c>
      <c r="F37" s="121"/>
      <c r="G37" s="26" t="s">
        <v>29</v>
      </c>
      <c r="H37" s="52">
        <f>Atlantida!Z43+Colon!Z43+Comayagua!Z43+Copán!Z40+Cortes!Z43+Choluteca!Z40+'El Paraíso'!Z40+'Fco Morazan'!Z43+'Gracias a Dios'!Z43+Intibucá!Z40+'Islas DLB'!Z43+'La Paz'!Z40+Lempira!Z40+Ocotepeque!Z43+Olancho!Z43+'Santa Barbara'!Z40+Valle!Z43+Yoro!Z40</f>
        <v>16</v>
      </c>
      <c r="I37" s="99">
        <f t="shared" si="33"/>
        <v>4.2105263157894736E-2</v>
      </c>
      <c r="J37" s="127"/>
      <c r="K37" s="26" t="s">
        <v>29</v>
      </c>
      <c r="L37" s="52">
        <f>Atlantida!AC43+Colon!AC43+Comayagua!AC43+Copán!AC40+Cortes!AC43+Choluteca!AC40+'El Paraíso'!AC40+'Fco Morazan'!AC43+'Gracias a Dios'!AC43+Intibucá!AC40+'Islas DLB'!AC43+'La Paz'!AC40+Lempira!AC40+Ocotepeque!AC43+Olancho!AC43+'Santa Barbara'!AC40+Valle!AC43+Yoro!AC40</f>
        <v>15</v>
      </c>
      <c r="M37" s="99">
        <f t="shared" si="34"/>
        <v>5.4744525547445258E-2</v>
      </c>
      <c r="N37" s="127"/>
      <c r="O37" s="26" t="s">
        <v>6</v>
      </c>
      <c r="P37" s="58">
        <f>Atlantida!AF43+Colon!AF43+Comayagua!AF43+Copán!AF40+Cortes!AF43+Choluteca!AF40+'El Paraíso'!AF40+'Fco Morazan'!AF43+'Gracias a Dios'!AF43+Intibucá!AF40+'Islas DLB'!AF43+'La Paz'!AF40+Lempira!AF40+Ocotepeque!AF43+Olancho!AF43+'Santa Barbara'!AF40+Valle!AF43+Yoro!AF40</f>
        <v>57</v>
      </c>
      <c r="Q37" s="88">
        <f t="shared" si="35"/>
        <v>0.15</v>
      </c>
      <c r="R37" s="59" t="s">
        <v>9</v>
      </c>
      <c r="S37" s="58">
        <f>Atlantida!AH43+Colon!AH43+Comayagua!AH43+Copán!AH40+Cortes!AH43+Choluteca!AH40+'El Paraíso'!AH40+'Fco Morazan'!AH43+'Gracias a Dios'!AH43+Intibucá!AH40+'Islas DLB'!AH43+'La Paz'!AH40+Lempira!AH40+Ocotepeque!AH43+Olancho!AH43+'Santa Barbara'!AH40+Valle!AH43+Yoro!AH40</f>
        <v>90</v>
      </c>
      <c r="T37" s="88">
        <f t="shared" si="36"/>
        <v>0.23684210526315788</v>
      </c>
      <c r="U37" s="59"/>
      <c r="V37" s="58"/>
      <c r="W37" s="90"/>
      <c r="X37" s="50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57"/>
      <c r="AQ37" s="4"/>
    </row>
  </sheetData>
  <mergeCells count="52">
    <mergeCell ref="F35:F37"/>
    <mergeCell ref="J35:J37"/>
    <mergeCell ref="N35:N37"/>
    <mergeCell ref="R28:R30"/>
    <mergeCell ref="X28:X30"/>
    <mergeCell ref="AH28:AH30"/>
    <mergeCell ref="F32:F34"/>
    <mergeCell ref="J32:J34"/>
    <mergeCell ref="N32:N34"/>
    <mergeCell ref="J25:J27"/>
    <mergeCell ref="N25:N27"/>
    <mergeCell ref="F28:F30"/>
    <mergeCell ref="J28:J30"/>
    <mergeCell ref="N28:N30"/>
    <mergeCell ref="J19:J21"/>
    <mergeCell ref="N19:N21"/>
    <mergeCell ref="F22:F24"/>
    <mergeCell ref="J22:J24"/>
    <mergeCell ref="N22:N24"/>
    <mergeCell ref="J13:J15"/>
    <mergeCell ref="N13:N15"/>
    <mergeCell ref="F16:F18"/>
    <mergeCell ref="J16:J18"/>
    <mergeCell ref="N16:N18"/>
    <mergeCell ref="A1:E1"/>
    <mergeCell ref="A32:A34"/>
    <mergeCell ref="D25:D27"/>
    <mergeCell ref="D32:D34"/>
    <mergeCell ref="F13:F15"/>
    <mergeCell ref="F19:F21"/>
    <mergeCell ref="F25:F27"/>
    <mergeCell ref="A3:B3"/>
    <mergeCell ref="D22:D24"/>
    <mergeCell ref="A4:B4"/>
    <mergeCell ref="A5:B5"/>
    <mergeCell ref="A6:A12"/>
    <mergeCell ref="D35:D37"/>
    <mergeCell ref="D28:D31"/>
    <mergeCell ref="A35:A37"/>
    <mergeCell ref="A28:A31"/>
    <mergeCell ref="D2:D4"/>
    <mergeCell ref="D6:D12"/>
    <mergeCell ref="C5:E5"/>
    <mergeCell ref="D13:D15"/>
    <mergeCell ref="D16:D18"/>
    <mergeCell ref="D19:D21"/>
    <mergeCell ref="A13:A15"/>
    <mergeCell ref="A16:A18"/>
    <mergeCell ref="A19:A21"/>
    <mergeCell ref="A22:A24"/>
    <mergeCell ref="A25:A27"/>
    <mergeCell ref="A2:B2"/>
  </mergeCells>
  <pageMargins left="0.7" right="0.7" top="0.75" bottom="0.75" header="0.3" footer="0.3"/>
  <pageSetup paperSize="14" scale="76" orientation="portrait" r:id="rId1"/>
  <rowBreaks count="1" manualBreakCount="1">
    <brk id="37" max="16383" man="1"/>
  </rowBreaks>
  <colBreaks count="1" manualBreakCount="1">
    <brk id="5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65"/>
  <sheetViews>
    <sheetView topLeftCell="V1" zoomScale="50" zoomScaleNormal="50" workbookViewId="0">
      <selection activeCell="AX34" sqref="AT34:AX36"/>
    </sheetView>
  </sheetViews>
  <sheetFormatPr baseColWidth="10" defaultRowHeight="15" x14ac:dyDescent="0.25"/>
  <cols>
    <col min="1" max="1" width="6.28515625" style="1" bestFit="1" customWidth="1"/>
    <col min="2" max="2" width="17.42578125" customWidth="1"/>
    <col min="4" max="4" width="9.7109375" bestFit="1" customWidth="1"/>
    <col min="5" max="5" width="10.140625" bestFit="1" customWidth="1"/>
    <col min="6" max="6" width="9.7109375" bestFit="1" customWidth="1"/>
    <col min="7" max="7" width="10.140625" bestFit="1" customWidth="1"/>
    <col min="8" max="8" width="9.7109375" bestFit="1" customWidth="1"/>
    <col min="9" max="9" width="14.140625" customWidth="1"/>
    <col min="10" max="10" width="20.140625" bestFit="1" customWidth="1"/>
    <col min="11" max="11" width="16" bestFit="1" customWidth="1"/>
    <col min="12" max="19" width="14.28515625" customWidth="1"/>
    <col min="21" max="21" width="48.42578125" style="7" customWidth="1"/>
    <col min="22" max="22" width="23.85546875" bestFit="1" customWidth="1"/>
    <col min="23" max="23" width="11.42578125" style="1"/>
  </cols>
  <sheetData>
    <row r="1" spans="1:23" ht="15.75" thickBot="1" x14ac:dyDescent="0.3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U1" s="144" t="s">
        <v>46</v>
      </c>
      <c r="V1" s="145"/>
      <c r="W1" s="148"/>
    </row>
    <row r="2" spans="1:23" ht="15.75" thickBot="1" x14ac:dyDescent="0.3">
      <c r="A2" s="123" t="s">
        <v>21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U2" s="144" t="s">
        <v>44</v>
      </c>
      <c r="V2" s="145"/>
      <c r="W2" s="17">
        <f>+COUNTIF(C5:C65,"M")</f>
        <v>12</v>
      </c>
    </row>
    <row r="3" spans="1:23" ht="15.75" customHeight="1" thickBot="1" x14ac:dyDescent="0.3">
      <c r="A3" s="149" t="s">
        <v>22</v>
      </c>
      <c r="B3" s="151" t="s">
        <v>2</v>
      </c>
      <c r="C3" s="149" t="s">
        <v>1</v>
      </c>
      <c r="D3" s="123" t="s">
        <v>3</v>
      </c>
      <c r="E3" s="123"/>
      <c r="F3" s="123"/>
      <c r="G3" s="123"/>
      <c r="H3" s="123"/>
      <c r="I3" s="123"/>
      <c r="J3" s="149" t="s">
        <v>11</v>
      </c>
      <c r="K3" s="149" t="s">
        <v>10</v>
      </c>
      <c r="L3" s="142" t="s">
        <v>12</v>
      </c>
      <c r="M3" s="142" t="s">
        <v>13</v>
      </c>
      <c r="N3" s="142" t="s">
        <v>14</v>
      </c>
      <c r="O3" s="142" t="s">
        <v>15</v>
      </c>
      <c r="P3" s="142" t="s">
        <v>16</v>
      </c>
      <c r="Q3" s="142" t="s">
        <v>17</v>
      </c>
      <c r="R3" s="142" t="s">
        <v>18</v>
      </c>
      <c r="S3" s="142" t="s">
        <v>19</v>
      </c>
      <c r="U3" s="144" t="s">
        <v>45</v>
      </c>
      <c r="V3" s="145"/>
      <c r="W3" s="17">
        <f>+COUNTIF(C5:C65,"F")</f>
        <v>15</v>
      </c>
    </row>
    <row r="4" spans="1:23" ht="15.75" customHeight="1" thickBot="1" x14ac:dyDescent="0.3">
      <c r="A4" s="150"/>
      <c r="B4" s="152"/>
      <c r="C4" s="150"/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150"/>
      <c r="K4" s="150"/>
      <c r="L4" s="143"/>
      <c r="M4" s="143"/>
      <c r="N4" s="143"/>
      <c r="O4" s="143"/>
      <c r="P4" s="143"/>
      <c r="Q4" s="143"/>
      <c r="R4" s="143"/>
      <c r="S4" s="143"/>
      <c r="U4" s="146" t="s">
        <v>29</v>
      </c>
      <c r="V4" s="147"/>
      <c r="W4" s="17">
        <f>+COUNTIF(C5:C65,"Blanco")</f>
        <v>4</v>
      </c>
    </row>
    <row r="5" spans="1:23" ht="15.75" thickBot="1" x14ac:dyDescent="0.3">
      <c r="A5" s="3">
        <v>1</v>
      </c>
      <c r="B5" s="29">
        <v>42934</v>
      </c>
      <c r="C5" s="28" t="s">
        <v>30</v>
      </c>
      <c r="D5" s="28"/>
      <c r="E5" s="28"/>
      <c r="F5" s="28"/>
      <c r="G5" s="28">
        <v>1</v>
      </c>
      <c r="H5" s="28"/>
      <c r="I5" s="28"/>
      <c r="J5" s="33" t="s">
        <v>104</v>
      </c>
      <c r="K5" s="33" t="s">
        <v>102</v>
      </c>
      <c r="L5" s="28" t="s">
        <v>25</v>
      </c>
      <c r="M5" s="28" t="s">
        <v>25</v>
      </c>
      <c r="N5" s="28" t="s">
        <v>25</v>
      </c>
      <c r="O5" s="28" t="s">
        <v>25</v>
      </c>
      <c r="P5" s="28" t="s">
        <v>25</v>
      </c>
      <c r="Q5" s="28" t="s">
        <v>34</v>
      </c>
      <c r="R5" s="28" t="s">
        <v>20</v>
      </c>
      <c r="S5" s="28" t="s">
        <v>20</v>
      </c>
      <c r="U5" s="146" t="s">
        <v>47</v>
      </c>
      <c r="V5" s="147"/>
      <c r="W5" s="18">
        <f>SUM(W2:W4)</f>
        <v>31</v>
      </c>
    </row>
    <row r="6" spans="1:23" x14ac:dyDescent="0.25">
      <c r="A6" s="3">
        <v>2</v>
      </c>
      <c r="B6" s="29">
        <v>42934</v>
      </c>
      <c r="C6" s="28" t="s">
        <v>23</v>
      </c>
      <c r="D6" s="28"/>
      <c r="E6" s="28"/>
      <c r="F6" s="28"/>
      <c r="G6" s="28"/>
      <c r="H6" s="28">
        <v>1</v>
      </c>
      <c r="I6" s="28"/>
      <c r="J6" s="33" t="s">
        <v>104</v>
      </c>
      <c r="K6" s="33" t="s">
        <v>102</v>
      </c>
      <c r="L6" s="28" t="s">
        <v>25</v>
      </c>
      <c r="M6" s="28" t="s">
        <v>25</v>
      </c>
      <c r="N6" s="28" t="s">
        <v>25</v>
      </c>
      <c r="O6" s="28" t="s">
        <v>20</v>
      </c>
      <c r="P6" s="28" t="s">
        <v>25</v>
      </c>
      <c r="Q6" s="28" t="s">
        <v>34</v>
      </c>
      <c r="R6" s="28" t="s">
        <v>25</v>
      </c>
      <c r="S6" s="28" t="s">
        <v>25</v>
      </c>
      <c r="U6" s="140" t="s">
        <v>3</v>
      </c>
      <c r="V6" s="11" t="s">
        <v>4</v>
      </c>
      <c r="W6" s="14">
        <f>+COUNTIF(D5:D65,"1")</f>
        <v>11</v>
      </c>
    </row>
    <row r="7" spans="1:23" x14ac:dyDescent="0.25">
      <c r="A7" s="3">
        <v>3</v>
      </c>
      <c r="B7" s="29">
        <v>42933</v>
      </c>
      <c r="C7" s="28" t="s">
        <v>30</v>
      </c>
      <c r="D7" s="28"/>
      <c r="E7" s="28"/>
      <c r="F7" s="28">
        <v>1</v>
      </c>
      <c r="G7" s="28"/>
      <c r="H7" s="28"/>
      <c r="I7" s="28"/>
      <c r="J7" s="33" t="s">
        <v>104</v>
      </c>
      <c r="K7" s="33" t="s">
        <v>102</v>
      </c>
      <c r="L7" s="28" t="s">
        <v>25</v>
      </c>
      <c r="M7" s="28" t="s">
        <v>25</v>
      </c>
      <c r="N7" s="28" t="s">
        <v>25</v>
      </c>
      <c r="O7" s="28" t="s">
        <v>25</v>
      </c>
      <c r="P7" s="28" t="s">
        <v>25</v>
      </c>
      <c r="Q7" s="28" t="s">
        <v>26</v>
      </c>
      <c r="R7" s="28" t="s">
        <v>25</v>
      </c>
      <c r="S7" s="28" t="s">
        <v>20</v>
      </c>
      <c r="U7" s="141"/>
      <c r="V7" s="8" t="s">
        <v>5</v>
      </c>
      <c r="W7" s="15">
        <f>+COUNTIF(E5:E65,"1")</f>
        <v>5</v>
      </c>
    </row>
    <row r="8" spans="1:23" x14ac:dyDescent="0.25">
      <c r="A8" s="3">
        <v>4</v>
      </c>
      <c r="B8" s="29">
        <v>42933</v>
      </c>
      <c r="C8" s="28" t="s">
        <v>23</v>
      </c>
      <c r="D8" s="28"/>
      <c r="E8" s="28"/>
      <c r="F8" s="28"/>
      <c r="G8" s="28">
        <v>1</v>
      </c>
      <c r="H8" s="28"/>
      <c r="I8" s="28"/>
      <c r="J8" s="33" t="s">
        <v>104</v>
      </c>
      <c r="K8" s="33" t="s">
        <v>102</v>
      </c>
      <c r="L8" s="28" t="s">
        <v>20</v>
      </c>
      <c r="M8" s="28" t="s">
        <v>20</v>
      </c>
      <c r="N8" s="28" t="s">
        <v>25</v>
      </c>
      <c r="O8" s="28" t="s">
        <v>25</v>
      </c>
      <c r="P8" s="28" t="s">
        <v>25</v>
      </c>
      <c r="Q8" s="28" t="s">
        <v>28</v>
      </c>
      <c r="R8" s="28" t="s">
        <v>20</v>
      </c>
      <c r="S8" s="28" t="s">
        <v>25</v>
      </c>
      <c r="T8" s="30"/>
      <c r="U8" s="141"/>
      <c r="V8" s="8" t="s">
        <v>6</v>
      </c>
      <c r="W8" s="15">
        <f>+COUNTIF(F5:F41,"1")</f>
        <v>2</v>
      </c>
    </row>
    <row r="9" spans="1:23" x14ac:dyDescent="0.25">
      <c r="A9" s="3">
        <v>5</v>
      </c>
      <c r="B9" s="29">
        <v>42932</v>
      </c>
      <c r="C9" s="28" t="s">
        <v>30</v>
      </c>
      <c r="D9" s="28"/>
      <c r="E9" s="28"/>
      <c r="F9" s="28"/>
      <c r="G9" s="28"/>
      <c r="H9" s="28">
        <v>1</v>
      </c>
      <c r="I9" s="28"/>
      <c r="J9" s="33" t="s">
        <v>104</v>
      </c>
      <c r="K9" s="33" t="s">
        <v>102</v>
      </c>
      <c r="L9" s="28" t="s">
        <v>25</v>
      </c>
      <c r="M9" s="28" t="s">
        <v>25</v>
      </c>
      <c r="N9" s="28" t="s">
        <v>25</v>
      </c>
      <c r="O9" s="28" t="s">
        <v>25</v>
      </c>
      <c r="P9" s="28" t="s">
        <v>25</v>
      </c>
      <c r="Q9" s="28" t="s">
        <v>34</v>
      </c>
      <c r="R9" s="28" t="s">
        <v>25</v>
      </c>
      <c r="S9" s="28" t="s">
        <v>20</v>
      </c>
      <c r="U9" s="141"/>
      <c r="V9" s="8" t="s">
        <v>7</v>
      </c>
      <c r="W9" s="15">
        <f>+COUNTIF(G5:G65,"1")</f>
        <v>4</v>
      </c>
    </row>
    <row r="10" spans="1:23" x14ac:dyDescent="0.25">
      <c r="A10" s="3">
        <v>6</v>
      </c>
      <c r="B10" s="29">
        <v>42930</v>
      </c>
      <c r="C10" s="28" t="s">
        <v>23</v>
      </c>
      <c r="D10" s="28"/>
      <c r="E10" s="28"/>
      <c r="F10" s="28"/>
      <c r="G10" s="28"/>
      <c r="H10" s="28"/>
      <c r="I10" s="28">
        <v>1</v>
      </c>
      <c r="J10" s="33" t="s">
        <v>104</v>
      </c>
      <c r="K10" s="33" t="s">
        <v>102</v>
      </c>
      <c r="L10" s="28" t="s">
        <v>25</v>
      </c>
      <c r="M10" s="28" t="s">
        <v>25</v>
      </c>
      <c r="N10" s="28" t="s">
        <v>25</v>
      </c>
      <c r="O10" s="28" t="s">
        <v>25</v>
      </c>
      <c r="P10" s="28" t="s">
        <v>25</v>
      </c>
      <c r="Q10" s="28" t="s">
        <v>26</v>
      </c>
      <c r="R10" s="28" t="s">
        <v>20</v>
      </c>
      <c r="S10" s="28" t="s">
        <v>25</v>
      </c>
      <c r="U10" s="141"/>
      <c r="V10" s="8" t="s">
        <v>8</v>
      </c>
      <c r="W10" s="15">
        <f>+COUNTIF(H5:H65,"1")</f>
        <v>5</v>
      </c>
    </row>
    <row r="11" spans="1:23" x14ac:dyDescent="0.25">
      <c r="A11" s="3">
        <v>7</v>
      </c>
      <c r="B11" s="29">
        <v>42930</v>
      </c>
      <c r="C11" s="28" t="s">
        <v>30</v>
      </c>
      <c r="D11" s="28"/>
      <c r="E11" s="28"/>
      <c r="F11" s="28">
        <v>1</v>
      </c>
      <c r="G11" s="28"/>
      <c r="H11" s="28"/>
      <c r="I11" s="28"/>
      <c r="J11" s="33" t="s">
        <v>104</v>
      </c>
      <c r="K11" s="33" t="s">
        <v>102</v>
      </c>
      <c r="L11" s="28" t="s">
        <v>20</v>
      </c>
      <c r="M11" s="28" t="s">
        <v>20</v>
      </c>
      <c r="N11" s="28" t="s">
        <v>20</v>
      </c>
      <c r="O11" s="28" t="s">
        <v>25</v>
      </c>
      <c r="P11" s="28" t="s">
        <v>25</v>
      </c>
      <c r="Q11" s="28" t="s">
        <v>28</v>
      </c>
      <c r="R11" s="28" t="s">
        <v>20</v>
      </c>
      <c r="S11" s="28" t="s">
        <v>20</v>
      </c>
      <c r="U11" s="141"/>
      <c r="V11" s="22" t="s">
        <v>9</v>
      </c>
      <c r="W11" s="23">
        <f>+COUNTIF(I5:I65,"1")</f>
        <v>4</v>
      </c>
    </row>
    <row r="12" spans="1:23" ht="15.75" thickBot="1" x14ac:dyDescent="0.3">
      <c r="A12" s="3">
        <v>8</v>
      </c>
      <c r="B12" s="29">
        <v>42930</v>
      </c>
      <c r="C12" s="28" t="s">
        <v>23</v>
      </c>
      <c r="D12" s="28"/>
      <c r="E12" s="28"/>
      <c r="F12" s="28"/>
      <c r="G12" s="28"/>
      <c r="H12" s="28"/>
      <c r="I12" s="28">
        <v>1</v>
      </c>
      <c r="J12" s="33" t="s">
        <v>104</v>
      </c>
      <c r="K12" s="33" t="s">
        <v>102</v>
      </c>
      <c r="L12" s="28" t="s">
        <v>25</v>
      </c>
      <c r="M12" s="28" t="s">
        <v>25</v>
      </c>
      <c r="N12" s="28" t="s">
        <v>25</v>
      </c>
      <c r="O12" s="28" t="s">
        <v>25</v>
      </c>
      <c r="P12" s="28" t="s">
        <v>25</v>
      </c>
      <c r="Q12" s="28" t="s">
        <v>34</v>
      </c>
      <c r="R12" s="28" t="s">
        <v>20</v>
      </c>
      <c r="S12" s="28" t="s">
        <v>20</v>
      </c>
      <c r="U12" s="141"/>
      <c r="V12" s="34" t="s">
        <v>29</v>
      </c>
      <c r="W12" s="23">
        <f>+COUNTIF(I5:I65,"Blanco")</f>
        <v>0</v>
      </c>
    </row>
    <row r="13" spans="1:23" x14ac:dyDescent="0.25">
      <c r="A13" s="3">
        <v>9</v>
      </c>
      <c r="B13" s="29">
        <v>42930</v>
      </c>
      <c r="C13" s="28" t="s">
        <v>23</v>
      </c>
      <c r="D13" s="28"/>
      <c r="E13" s="28"/>
      <c r="F13" s="28"/>
      <c r="G13" s="28"/>
      <c r="H13" s="28">
        <v>1</v>
      </c>
      <c r="I13" s="28"/>
      <c r="J13" s="33" t="s">
        <v>104</v>
      </c>
      <c r="K13" s="33" t="s">
        <v>102</v>
      </c>
      <c r="L13" s="28" t="s">
        <v>25</v>
      </c>
      <c r="M13" s="28" t="s">
        <v>25</v>
      </c>
      <c r="N13" s="28" t="s">
        <v>25</v>
      </c>
      <c r="O13" s="28" t="s">
        <v>25</v>
      </c>
      <c r="P13" s="28" t="s">
        <v>25</v>
      </c>
      <c r="Q13" s="28" t="s">
        <v>26</v>
      </c>
      <c r="R13" s="28" t="s">
        <v>25</v>
      </c>
      <c r="S13" s="28" t="s">
        <v>20</v>
      </c>
      <c r="U13" s="137" t="s">
        <v>35</v>
      </c>
      <c r="V13" s="19" t="s">
        <v>102</v>
      </c>
      <c r="W13" s="14">
        <f>+COUNTIF(K5:K65,"Puerto Lempira")</f>
        <v>16</v>
      </c>
    </row>
    <row r="14" spans="1:23" x14ac:dyDescent="0.25">
      <c r="A14" s="3">
        <v>10</v>
      </c>
      <c r="B14" s="29">
        <v>42930</v>
      </c>
      <c r="C14" s="28" t="s">
        <v>30</v>
      </c>
      <c r="D14" s="28">
        <v>1</v>
      </c>
      <c r="E14" s="28"/>
      <c r="F14" s="28"/>
      <c r="G14" s="28"/>
      <c r="H14" s="28"/>
      <c r="I14" s="28"/>
      <c r="J14" s="33" t="s">
        <v>104</v>
      </c>
      <c r="K14" s="33" t="s">
        <v>102</v>
      </c>
      <c r="L14" s="28" t="s">
        <v>25</v>
      </c>
      <c r="M14" s="28" t="s">
        <v>25</v>
      </c>
      <c r="N14" s="28" t="s">
        <v>25</v>
      </c>
      <c r="O14" s="28" t="s">
        <v>25</v>
      </c>
      <c r="P14" s="28" t="s">
        <v>25</v>
      </c>
      <c r="Q14" s="28" t="s">
        <v>27</v>
      </c>
      <c r="R14" s="28" t="s">
        <v>25</v>
      </c>
      <c r="S14" s="28" t="s">
        <v>25</v>
      </c>
      <c r="U14" s="109"/>
      <c r="V14" s="6" t="s">
        <v>103</v>
      </c>
      <c r="W14" s="15">
        <f>+COUNTIF(K5:K65,"Brus Laguna")</f>
        <v>15</v>
      </c>
    </row>
    <row r="15" spans="1:23" x14ac:dyDescent="0.25">
      <c r="A15" s="3">
        <v>11</v>
      </c>
      <c r="B15" s="29">
        <v>42930</v>
      </c>
      <c r="C15" s="28" t="s">
        <v>30</v>
      </c>
      <c r="D15" s="28"/>
      <c r="E15" s="28">
        <v>1</v>
      </c>
      <c r="F15" s="28"/>
      <c r="G15" s="28"/>
      <c r="H15" s="28"/>
      <c r="I15" s="28"/>
      <c r="J15" s="33" t="s">
        <v>104</v>
      </c>
      <c r="K15" s="33" t="s">
        <v>102</v>
      </c>
      <c r="L15" s="28" t="s">
        <v>20</v>
      </c>
      <c r="M15" s="28" t="s">
        <v>20</v>
      </c>
      <c r="N15" s="28" t="s">
        <v>20</v>
      </c>
      <c r="O15" s="28" t="s">
        <v>20</v>
      </c>
      <c r="P15" s="28" t="s">
        <v>20</v>
      </c>
      <c r="Q15" s="28" t="s">
        <v>28</v>
      </c>
      <c r="R15" s="28" t="s">
        <v>20</v>
      </c>
      <c r="S15" s="28" t="s">
        <v>20</v>
      </c>
      <c r="U15" s="109"/>
      <c r="V15" s="35"/>
      <c r="W15" s="15"/>
    </row>
    <row r="16" spans="1:23" x14ac:dyDescent="0.25">
      <c r="A16" s="3">
        <v>12</v>
      </c>
      <c r="B16" s="29">
        <v>42930</v>
      </c>
      <c r="C16" s="28" t="s">
        <v>23</v>
      </c>
      <c r="D16" s="28"/>
      <c r="E16" s="28">
        <v>1</v>
      </c>
      <c r="F16" s="28"/>
      <c r="G16" s="28"/>
      <c r="H16" s="28"/>
      <c r="I16" s="28"/>
      <c r="J16" s="33" t="s">
        <v>104</v>
      </c>
      <c r="K16" s="33" t="s">
        <v>102</v>
      </c>
      <c r="L16" s="28" t="s">
        <v>25</v>
      </c>
      <c r="M16" s="28" t="s">
        <v>20</v>
      </c>
      <c r="N16" s="28" t="s">
        <v>20</v>
      </c>
      <c r="O16" s="28" t="s">
        <v>25</v>
      </c>
      <c r="P16" s="28" t="s">
        <v>25</v>
      </c>
      <c r="Q16" s="28" t="s">
        <v>27</v>
      </c>
      <c r="R16" s="28" t="s">
        <v>20</v>
      </c>
      <c r="S16" s="28" t="s">
        <v>20</v>
      </c>
      <c r="U16" s="109"/>
      <c r="V16" s="6"/>
      <c r="W16" s="15"/>
    </row>
    <row r="17" spans="1:50" x14ac:dyDescent="0.25">
      <c r="A17" s="3">
        <v>13</v>
      </c>
      <c r="B17" s="29">
        <v>42930</v>
      </c>
      <c r="C17" s="28" t="s">
        <v>23</v>
      </c>
      <c r="D17" s="28">
        <v>1</v>
      </c>
      <c r="E17" s="28"/>
      <c r="F17" s="28"/>
      <c r="G17" s="28"/>
      <c r="H17" s="28"/>
      <c r="I17" s="28"/>
      <c r="J17" s="33" t="s">
        <v>104</v>
      </c>
      <c r="K17" s="33" t="s">
        <v>102</v>
      </c>
      <c r="L17" s="28" t="s">
        <v>20</v>
      </c>
      <c r="M17" s="28" t="s">
        <v>25</v>
      </c>
      <c r="N17" s="28" t="s">
        <v>25</v>
      </c>
      <c r="O17" s="28" t="s">
        <v>25</v>
      </c>
      <c r="P17" s="28" t="s">
        <v>20</v>
      </c>
      <c r="Q17" s="28" t="s">
        <v>27</v>
      </c>
      <c r="R17" s="28" t="s">
        <v>20</v>
      </c>
      <c r="S17" s="28" t="s">
        <v>20</v>
      </c>
      <c r="U17" s="138"/>
      <c r="V17" s="34"/>
      <c r="W17" s="15"/>
    </row>
    <row r="18" spans="1:50" ht="15.75" thickBot="1" x14ac:dyDescent="0.3">
      <c r="A18" s="3">
        <v>14</v>
      </c>
      <c r="B18" s="29">
        <v>42927</v>
      </c>
      <c r="C18" s="28" t="s">
        <v>30</v>
      </c>
      <c r="D18" s="28"/>
      <c r="E18" s="28">
        <v>1</v>
      </c>
      <c r="F18" s="28"/>
      <c r="G18" s="28"/>
      <c r="H18" s="28"/>
      <c r="I18" s="28"/>
      <c r="J18" s="33" t="s">
        <v>104</v>
      </c>
      <c r="K18" s="33" t="s">
        <v>102</v>
      </c>
      <c r="L18" s="28" t="s">
        <v>20</v>
      </c>
      <c r="M18" s="28" t="s">
        <v>20</v>
      </c>
      <c r="N18" s="28" t="s">
        <v>25</v>
      </c>
      <c r="O18" s="28" t="s">
        <v>25</v>
      </c>
      <c r="P18" s="28" t="s">
        <v>25</v>
      </c>
      <c r="Q18" s="28" t="s">
        <v>27</v>
      </c>
      <c r="R18" s="28" t="s">
        <v>20</v>
      </c>
      <c r="S18" s="28" t="s">
        <v>20</v>
      </c>
      <c r="U18" s="110"/>
      <c r="V18" s="26"/>
      <c r="W18" s="16"/>
    </row>
    <row r="19" spans="1:50" ht="15" customHeight="1" x14ac:dyDescent="0.25">
      <c r="A19" s="3">
        <v>15</v>
      </c>
      <c r="B19" s="29">
        <v>42927</v>
      </c>
      <c r="C19" s="28" t="s">
        <v>23</v>
      </c>
      <c r="D19" s="28">
        <v>1</v>
      </c>
      <c r="E19" s="28"/>
      <c r="F19" s="28"/>
      <c r="G19" s="28"/>
      <c r="H19" s="28"/>
      <c r="I19" s="28"/>
      <c r="J19" s="33" t="s">
        <v>104</v>
      </c>
      <c r="K19" s="33" t="s">
        <v>102</v>
      </c>
      <c r="L19" s="28" t="s">
        <v>20</v>
      </c>
      <c r="M19" s="28" t="s">
        <v>25</v>
      </c>
      <c r="N19" s="28" t="s">
        <v>25</v>
      </c>
      <c r="O19" s="28" t="s">
        <v>25</v>
      </c>
      <c r="P19" s="28" t="s">
        <v>25</v>
      </c>
      <c r="Q19" s="28" t="s">
        <v>27</v>
      </c>
      <c r="R19" s="28" t="s">
        <v>25</v>
      </c>
      <c r="S19" s="28" t="s">
        <v>25</v>
      </c>
      <c r="U19" s="139" t="s">
        <v>36</v>
      </c>
      <c r="V19" s="10" t="s">
        <v>20</v>
      </c>
      <c r="W19" s="25">
        <f>+COUNTIF(L5:L65,"Si")</f>
        <v>21</v>
      </c>
      <c r="X19" s="125" t="s">
        <v>118</v>
      </c>
      <c r="Y19" s="48" t="s">
        <v>114</v>
      </c>
      <c r="Z19" s="49">
        <f>COUNTIFS($C$5:$C$65,"M",$L$5:$L$65,"Si")</f>
        <v>8</v>
      </c>
      <c r="AA19" s="125" t="s">
        <v>117</v>
      </c>
      <c r="AB19" s="48" t="s">
        <v>114</v>
      </c>
      <c r="AC19" s="55">
        <f>COUNTIFS($C$5:$C$65,"M",$L$5:$L$65,"No")</f>
        <v>4</v>
      </c>
      <c r="AD19" s="125" t="s">
        <v>118</v>
      </c>
      <c r="AE19" s="48" t="s">
        <v>4</v>
      </c>
      <c r="AF19" s="48">
        <f>COUNTIFS($D$5:$D$65,"1",$L$5:$L$65,"Si")</f>
        <v>10</v>
      </c>
      <c r="AG19" s="48" t="s">
        <v>7</v>
      </c>
      <c r="AH19" s="48">
        <f>COUNTIFS($G$5:$G$65,"1",$L$5:$L$65,"Si")</f>
        <v>2</v>
      </c>
      <c r="AI19" s="48" t="s">
        <v>29</v>
      </c>
      <c r="AJ19" s="49">
        <f>COUNTIFS($I$5:$I$65,"Blanco",$L$5:$L$65,"Si")</f>
        <v>0</v>
      </c>
      <c r="AK19" s="50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x14ac:dyDescent="0.25">
      <c r="A20" s="3">
        <v>16</v>
      </c>
      <c r="B20" s="29">
        <v>42927</v>
      </c>
      <c r="C20" s="28" t="s">
        <v>23</v>
      </c>
      <c r="D20" s="28"/>
      <c r="E20" s="28"/>
      <c r="F20" s="28"/>
      <c r="G20" s="28">
        <v>1</v>
      </c>
      <c r="H20" s="28"/>
      <c r="I20" s="28"/>
      <c r="J20" s="33" t="s">
        <v>104</v>
      </c>
      <c r="K20" s="33" t="s">
        <v>102</v>
      </c>
      <c r="L20" s="28" t="s">
        <v>25</v>
      </c>
      <c r="M20" s="28" t="s">
        <v>25</v>
      </c>
      <c r="N20" s="28" t="s">
        <v>25</v>
      </c>
      <c r="O20" s="28" t="s">
        <v>25</v>
      </c>
      <c r="P20" s="28" t="s">
        <v>25</v>
      </c>
      <c r="Q20" s="28" t="s">
        <v>27</v>
      </c>
      <c r="R20" s="28" t="s">
        <v>25</v>
      </c>
      <c r="S20" s="28" t="s">
        <v>25</v>
      </c>
      <c r="U20" s="109"/>
      <c r="V20" s="9" t="s">
        <v>25</v>
      </c>
      <c r="W20" s="15">
        <f>+COUNTIF(L5:L65,"No")</f>
        <v>10</v>
      </c>
      <c r="X20" s="126"/>
      <c r="Y20" s="6" t="s">
        <v>115</v>
      </c>
      <c r="Z20" s="51">
        <f>COUNTIFS($C$5:$C$65,"F",$L$5:$L$65,"Si")</f>
        <v>9</v>
      </c>
      <c r="AA20" s="126"/>
      <c r="AB20" s="6" t="s">
        <v>115</v>
      </c>
      <c r="AC20" s="57">
        <f>COUNTIFS($C$5:$C$65,"F",$L$5:$L$65,"No")</f>
        <v>6</v>
      </c>
      <c r="AD20" s="126"/>
      <c r="AE20" s="6" t="s">
        <v>5</v>
      </c>
      <c r="AF20" s="6">
        <f>COUNTIFS($E$5:$E$65,"1",$L$5:$L$65,"Si")</f>
        <v>4</v>
      </c>
      <c r="AG20" s="39" t="s">
        <v>8</v>
      </c>
      <c r="AH20" s="6">
        <f>COUNTIFS($H$5:$H$65,"1",$L$5:$L$65,"Si")</f>
        <v>2</v>
      </c>
      <c r="AI20" s="6"/>
      <c r="AJ20" s="51"/>
      <c r="AK20" s="50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5.75" thickBot="1" x14ac:dyDescent="0.3">
      <c r="A21" s="3">
        <v>17</v>
      </c>
      <c r="B21" s="29">
        <v>42930</v>
      </c>
      <c r="C21" s="28" t="s">
        <v>23</v>
      </c>
      <c r="D21" s="28">
        <v>1</v>
      </c>
      <c r="E21" s="28"/>
      <c r="F21" s="28"/>
      <c r="G21" s="28"/>
      <c r="H21" s="28"/>
      <c r="I21" s="28"/>
      <c r="J21" s="33" t="s">
        <v>104</v>
      </c>
      <c r="K21" s="33" t="s">
        <v>103</v>
      </c>
      <c r="L21" s="28" t="s">
        <v>20</v>
      </c>
      <c r="M21" s="28" t="s">
        <v>20</v>
      </c>
      <c r="N21" s="28" t="s">
        <v>25</v>
      </c>
      <c r="O21" s="28" t="s">
        <v>25</v>
      </c>
      <c r="P21" s="28" t="s">
        <v>25</v>
      </c>
      <c r="Q21" s="28" t="s">
        <v>27</v>
      </c>
      <c r="R21" s="28" t="s">
        <v>20</v>
      </c>
      <c r="S21" s="28" t="s">
        <v>20</v>
      </c>
      <c r="U21" s="110"/>
      <c r="V21" s="13" t="s">
        <v>29</v>
      </c>
      <c r="W21" s="16">
        <f>+COUNTIF(L5:L65,"Blanco")</f>
        <v>0</v>
      </c>
      <c r="X21" s="127"/>
      <c r="Y21" s="26" t="s">
        <v>29</v>
      </c>
      <c r="Z21" s="52">
        <f>COUNTIFS($C$5:$C$65,"Blanco",$L$5:$L$65,"Si")</f>
        <v>4</v>
      </c>
      <c r="AA21" s="127"/>
      <c r="AB21" s="26" t="s">
        <v>29</v>
      </c>
      <c r="AC21" s="58">
        <f>COUNTIFS($C$5:$C$65,"Blanco",$L$5:$L$65,"No")</f>
        <v>0</v>
      </c>
      <c r="AD21" s="127"/>
      <c r="AE21" s="26" t="s">
        <v>6</v>
      </c>
      <c r="AF21" s="26">
        <f>COUNTIFS($F$5:$F$65,"1",$L$5:$L$65,"Si")</f>
        <v>1</v>
      </c>
      <c r="AG21" s="26" t="s">
        <v>9</v>
      </c>
      <c r="AH21" s="26">
        <f>COUNTIFS($I$5:$I$65,"1",$L$5:$L$65,"Si")</f>
        <v>2</v>
      </c>
      <c r="AI21" s="26"/>
      <c r="AJ21" s="52"/>
      <c r="AK21" s="50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x14ac:dyDescent="0.25">
      <c r="A22" s="3">
        <v>18</v>
      </c>
      <c r="B22" s="29">
        <v>42930</v>
      </c>
      <c r="C22" s="28" t="s">
        <v>23</v>
      </c>
      <c r="D22" s="28">
        <v>1</v>
      </c>
      <c r="E22" s="28"/>
      <c r="F22" s="28"/>
      <c r="G22" s="28"/>
      <c r="H22" s="28"/>
      <c r="I22" s="28"/>
      <c r="J22" s="33" t="s">
        <v>104</v>
      </c>
      <c r="K22" s="33" t="s">
        <v>103</v>
      </c>
      <c r="L22" s="28" t="s">
        <v>20</v>
      </c>
      <c r="M22" s="28" t="s">
        <v>20</v>
      </c>
      <c r="N22" s="28" t="s">
        <v>25</v>
      </c>
      <c r="O22" s="28" t="s">
        <v>25</v>
      </c>
      <c r="P22" s="28" t="s">
        <v>25</v>
      </c>
      <c r="Q22" s="28" t="s">
        <v>27</v>
      </c>
      <c r="R22" s="28" t="s">
        <v>20</v>
      </c>
      <c r="S22" s="28" t="s">
        <v>20</v>
      </c>
      <c r="U22" s="137" t="s">
        <v>37</v>
      </c>
      <c r="V22" s="12" t="s">
        <v>20</v>
      </c>
      <c r="W22" s="14">
        <f>+COUNTIF(M5:M65,"Si")</f>
        <v>20</v>
      </c>
      <c r="X22" s="125" t="s">
        <v>118</v>
      </c>
      <c r="Y22" s="48" t="s">
        <v>114</v>
      </c>
      <c r="Z22" s="49">
        <f>COUNTIFS($C$5:$C$65,"M",$M$5:$M$65,"Si")</f>
        <v>8</v>
      </c>
      <c r="AA22" s="125" t="s">
        <v>117</v>
      </c>
      <c r="AB22" s="48" t="s">
        <v>114</v>
      </c>
      <c r="AC22" s="55">
        <f>COUNTIFS($C$5:$C$65,"M",$M$5:$M$65,"No")</f>
        <v>4</v>
      </c>
      <c r="AD22" s="132" t="s">
        <v>118</v>
      </c>
      <c r="AE22" s="61" t="s">
        <v>4</v>
      </c>
      <c r="AF22" s="48">
        <f>COUNTIFS($D$5:$D$65,"1",$M$5:$M$65,"Si")</f>
        <v>8</v>
      </c>
      <c r="AG22" s="61" t="s">
        <v>7</v>
      </c>
      <c r="AH22" s="48">
        <f>COUNTIFS($G$5:$G$65,"1",$M$5:$M$65,"Si")</f>
        <v>2</v>
      </c>
      <c r="AI22" s="61" t="s">
        <v>29</v>
      </c>
      <c r="AJ22" s="49">
        <f>COUNTIFS($I$5:$I$65,"Blanco",$M$5:$M$65,"Si")</f>
        <v>0</v>
      </c>
      <c r="AK22" s="50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x14ac:dyDescent="0.25">
      <c r="A23" s="3">
        <v>19</v>
      </c>
      <c r="B23" s="29">
        <v>42930</v>
      </c>
      <c r="C23" s="28" t="s">
        <v>30</v>
      </c>
      <c r="D23" s="28">
        <v>1</v>
      </c>
      <c r="E23" s="28"/>
      <c r="F23" s="28"/>
      <c r="G23" s="28"/>
      <c r="H23" s="28"/>
      <c r="I23" s="28"/>
      <c r="J23" s="33" t="s">
        <v>104</v>
      </c>
      <c r="K23" s="33" t="s">
        <v>103</v>
      </c>
      <c r="L23" s="28" t="s">
        <v>20</v>
      </c>
      <c r="M23" s="28" t="s">
        <v>20</v>
      </c>
      <c r="N23" s="28" t="s">
        <v>20</v>
      </c>
      <c r="O23" s="28" t="s">
        <v>25</v>
      </c>
      <c r="P23" s="28" t="s">
        <v>25</v>
      </c>
      <c r="Q23" s="28" t="s">
        <v>28</v>
      </c>
      <c r="R23" s="28" t="s">
        <v>20</v>
      </c>
      <c r="S23" s="28" t="s">
        <v>20</v>
      </c>
      <c r="U23" s="109"/>
      <c r="V23" s="9" t="s">
        <v>25</v>
      </c>
      <c r="W23" s="15">
        <f>+COUNTIF(M5:M65,"No")</f>
        <v>11</v>
      </c>
      <c r="X23" s="126"/>
      <c r="Y23" s="6" t="s">
        <v>115</v>
      </c>
      <c r="Z23" s="51">
        <f>COUNTIFS($C$5:$C$65,"F",$M$5:$M$65,"Si")</f>
        <v>8</v>
      </c>
      <c r="AA23" s="126"/>
      <c r="AB23" s="6" t="s">
        <v>115</v>
      </c>
      <c r="AC23" s="57">
        <f>COUNTIFS($C$5:$C$65,"F",$M$5:$M$65,"No")</f>
        <v>7</v>
      </c>
      <c r="AD23" s="126"/>
      <c r="AE23" s="6" t="s">
        <v>5</v>
      </c>
      <c r="AF23" s="6">
        <f>COUNTIFS($E$5:$E$65,"1",$M$5:$M$65,"Si")</f>
        <v>5</v>
      </c>
      <c r="AG23" s="39" t="s">
        <v>8</v>
      </c>
      <c r="AH23" s="6">
        <f>COUNTIFS($H$5:$H$65,"1",$M$5:$M$65,"Si")</f>
        <v>2</v>
      </c>
      <c r="AI23" s="6"/>
      <c r="AJ23" s="51"/>
      <c r="AK23" s="50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5.75" thickBot="1" x14ac:dyDescent="0.3">
      <c r="A24" s="3">
        <v>20</v>
      </c>
      <c r="B24" s="29">
        <v>42930</v>
      </c>
      <c r="C24" s="28" t="s">
        <v>23</v>
      </c>
      <c r="D24" s="28">
        <v>1</v>
      </c>
      <c r="E24" s="28"/>
      <c r="F24" s="28"/>
      <c r="G24" s="28"/>
      <c r="H24" s="28"/>
      <c r="I24" s="28"/>
      <c r="J24" s="33" t="s">
        <v>104</v>
      </c>
      <c r="K24" s="33" t="s">
        <v>103</v>
      </c>
      <c r="L24" s="28" t="s">
        <v>20</v>
      </c>
      <c r="M24" s="28" t="s">
        <v>20</v>
      </c>
      <c r="N24" s="28" t="s">
        <v>25</v>
      </c>
      <c r="O24" s="28" t="s">
        <v>25</v>
      </c>
      <c r="P24" s="28" t="s">
        <v>25</v>
      </c>
      <c r="Q24" s="28" t="s">
        <v>27</v>
      </c>
      <c r="R24" s="28" t="s">
        <v>20</v>
      </c>
      <c r="S24" s="28" t="s">
        <v>20</v>
      </c>
      <c r="U24" s="110"/>
      <c r="V24" s="13" t="s">
        <v>29</v>
      </c>
      <c r="W24" s="16">
        <f>+COUNTIF(M5:M65,"Blanco")</f>
        <v>0</v>
      </c>
      <c r="X24" s="127"/>
      <c r="Y24" s="26" t="s">
        <v>29</v>
      </c>
      <c r="Z24" s="52">
        <f>COUNTIFS($C$5:$C$65,"Blanco",$M$5:$M$65,"Si")</f>
        <v>4</v>
      </c>
      <c r="AA24" s="127"/>
      <c r="AB24" s="26" t="s">
        <v>29</v>
      </c>
      <c r="AC24" s="58">
        <f>COUNTIFS($C$5:$C$65,"Blanco",$M$5:$M$65,"No")</f>
        <v>0</v>
      </c>
      <c r="AD24" s="127"/>
      <c r="AE24" s="26" t="s">
        <v>6</v>
      </c>
      <c r="AF24" s="26">
        <f>COUNTIFS($F$5:$F$65,"1",$M$5:$M$65,"Si")</f>
        <v>1</v>
      </c>
      <c r="AG24" s="26" t="s">
        <v>9</v>
      </c>
      <c r="AH24" s="26">
        <f>COUNTIFS($I$5:$I$65,"1",$M$5:$M$65,"Si")</f>
        <v>2</v>
      </c>
      <c r="AI24" s="26"/>
      <c r="AJ24" s="52"/>
      <c r="AK24" s="50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x14ac:dyDescent="0.25">
      <c r="A25" s="3">
        <v>21</v>
      </c>
      <c r="B25" s="29">
        <v>42930</v>
      </c>
      <c r="C25" s="28" t="s">
        <v>30</v>
      </c>
      <c r="D25" s="28">
        <v>1</v>
      </c>
      <c r="E25" s="28"/>
      <c r="F25" s="28"/>
      <c r="G25" s="28"/>
      <c r="H25" s="28"/>
      <c r="I25" s="28"/>
      <c r="J25" s="33" t="s">
        <v>104</v>
      </c>
      <c r="K25" s="33" t="s">
        <v>103</v>
      </c>
      <c r="L25" s="28" t="s">
        <v>20</v>
      </c>
      <c r="M25" s="28" t="s">
        <v>20</v>
      </c>
      <c r="N25" s="28" t="s">
        <v>25</v>
      </c>
      <c r="O25" s="28" t="s">
        <v>25</v>
      </c>
      <c r="P25" s="28" t="s">
        <v>25</v>
      </c>
      <c r="Q25" s="28" t="s">
        <v>27</v>
      </c>
      <c r="R25" s="28" t="s">
        <v>20</v>
      </c>
      <c r="S25" s="28" t="s">
        <v>20</v>
      </c>
      <c r="U25" s="137" t="s">
        <v>38</v>
      </c>
      <c r="V25" s="12" t="s">
        <v>20</v>
      </c>
      <c r="W25" s="14">
        <f>+COUNTIF(N5:N65,"Si")</f>
        <v>11</v>
      </c>
      <c r="X25" s="125" t="s">
        <v>118</v>
      </c>
      <c r="Y25" s="48" t="s">
        <v>114</v>
      </c>
      <c r="Z25" s="49">
        <f>COUNTIFS($C$5:$C$65,"M",$N$5:$N$65,"Si")</f>
        <v>5</v>
      </c>
      <c r="AA25" s="125" t="s">
        <v>117</v>
      </c>
      <c r="AB25" s="48" t="s">
        <v>114</v>
      </c>
      <c r="AC25" s="55">
        <f>COUNTIFS($C$5:$C$65,"M",$N$5:$N$65,"No")</f>
        <v>7</v>
      </c>
      <c r="AD25" s="125" t="s">
        <v>117</v>
      </c>
      <c r="AE25" s="48" t="s">
        <v>4</v>
      </c>
      <c r="AF25" s="48">
        <f>COUNTIFS($D$5:$D$65,"1",$N$5:$N$65,"No")</f>
        <v>10</v>
      </c>
      <c r="AG25" s="48" t="s">
        <v>7</v>
      </c>
      <c r="AH25" s="48">
        <f>COUNTIFS($G$5:$G$65,"1",$N$5:$N$65,"No")</f>
        <v>3</v>
      </c>
      <c r="AI25" s="48" t="s">
        <v>29</v>
      </c>
      <c r="AJ25" s="49">
        <f>COUNTIFS($I$5:$I$65,"Blanco",$N$5:$N$65,"No")</f>
        <v>0</v>
      </c>
      <c r="AK25" s="50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x14ac:dyDescent="0.25">
      <c r="A26" s="3">
        <v>22</v>
      </c>
      <c r="B26" s="29">
        <v>42930</v>
      </c>
      <c r="C26" s="28" t="s">
        <v>23</v>
      </c>
      <c r="D26" s="28">
        <v>1</v>
      </c>
      <c r="E26" s="28"/>
      <c r="F26" s="28"/>
      <c r="G26" s="28"/>
      <c r="H26" s="28"/>
      <c r="I26" s="28"/>
      <c r="J26" s="33" t="s">
        <v>104</v>
      </c>
      <c r="K26" s="33" t="s">
        <v>103</v>
      </c>
      <c r="L26" s="28" t="s">
        <v>20</v>
      </c>
      <c r="M26" s="28" t="s">
        <v>20</v>
      </c>
      <c r="N26" s="28" t="s">
        <v>25</v>
      </c>
      <c r="O26" s="28" t="s">
        <v>25</v>
      </c>
      <c r="P26" s="28" t="s">
        <v>25</v>
      </c>
      <c r="Q26" s="28" t="s">
        <v>27</v>
      </c>
      <c r="R26" s="28" t="s">
        <v>20</v>
      </c>
      <c r="S26" s="28" t="s">
        <v>20</v>
      </c>
      <c r="U26" s="109"/>
      <c r="V26" s="9" t="s">
        <v>25</v>
      </c>
      <c r="W26" s="15">
        <f>+COUNTIF(N5:N65,"No")</f>
        <v>20</v>
      </c>
      <c r="X26" s="126"/>
      <c r="Y26" s="6" t="s">
        <v>115</v>
      </c>
      <c r="Z26" s="51">
        <f>COUNTIFS($C$5:$C$65,"F",$N$5:$N$65,"Si")</f>
        <v>2</v>
      </c>
      <c r="AA26" s="126"/>
      <c r="AB26" s="6" t="s">
        <v>115</v>
      </c>
      <c r="AC26" s="57">
        <f>COUNTIFS($C$5:$C$65,"F",$N$5:$N$65,"No")</f>
        <v>13</v>
      </c>
      <c r="AD26" s="126"/>
      <c r="AE26" s="6" t="s">
        <v>5</v>
      </c>
      <c r="AF26" s="6">
        <f>COUNTIFS($E$5:$E$65,"1",$N$5:$N$65,"No")</f>
        <v>1</v>
      </c>
      <c r="AG26" s="39" t="s">
        <v>8</v>
      </c>
      <c r="AH26" s="6">
        <f>COUNTIFS($H$5:$H$65,"1",$N$5:$N$65,"No")</f>
        <v>3</v>
      </c>
      <c r="AI26" s="6"/>
      <c r="AJ26" s="51"/>
      <c r="AK26" s="50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5.75" thickBot="1" x14ac:dyDescent="0.3">
      <c r="A27" s="3">
        <v>23</v>
      </c>
      <c r="B27" s="29">
        <v>42930</v>
      </c>
      <c r="C27" s="28" t="s">
        <v>23</v>
      </c>
      <c r="D27" s="28">
        <v>1</v>
      </c>
      <c r="E27" s="28"/>
      <c r="F27" s="28"/>
      <c r="G27" s="28"/>
      <c r="H27" s="28"/>
      <c r="I27" s="28"/>
      <c r="J27" s="33" t="s">
        <v>104</v>
      </c>
      <c r="K27" s="33" t="s">
        <v>103</v>
      </c>
      <c r="L27" s="28" t="s">
        <v>20</v>
      </c>
      <c r="M27" s="28" t="s">
        <v>20</v>
      </c>
      <c r="N27" s="28" t="s">
        <v>25</v>
      </c>
      <c r="O27" s="28" t="s">
        <v>25</v>
      </c>
      <c r="P27" s="28" t="s">
        <v>25</v>
      </c>
      <c r="Q27" s="28" t="s">
        <v>27</v>
      </c>
      <c r="R27" s="28" t="s">
        <v>20</v>
      </c>
      <c r="S27" s="28" t="s">
        <v>20</v>
      </c>
      <c r="U27" s="110"/>
      <c r="V27" s="13" t="s">
        <v>29</v>
      </c>
      <c r="W27" s="16">
        <f>+COUNTIF(N5:N65,"Blanco")</f>
        <v>0</v>
      </c>
      <c r="X27" s="127"/>
      <c r="Y27" s="26" t="s">
        <v>29</v>
      </c>
      <c r="Z27" s="52">
        <f>COUNTIFS($C$5:$C$65,"Blanco",$N$5:N65,"Si")</f>
        <v>4</v>
      </c>
      <c r="AA27" s="127"/>
      <c r="AB27" s="26" t="s">
        <v>29</v>
      </c>
      <c r="AC27" s="58">
        <f>COUNTIFS($C$5:$C$65,"Blanco",$N$5:$N$65,"No")</f>
        <v>0</v>
      </c>
      <c r="AD27" s="127"/>
      <c r="AE27" s="26" t="s">
        <v>6</v>
      </c>
      <c r="AF27" s="26">
        <f>COUNTIFS($F$5:$F$65,"1",$N$5:$N$65,"No")</f>
        <v>1</v>
      </c>
      <c r="AG27" s="26" t="s">
        <v>9</v>
      </c>
      <c r="AH27" s="26">
        <f>COUNTIFS($I$5:$I$65,"1",$N$5:$N$65,"No")</f>
        <v>2</v>
      </c>
      <c r="AI27" s="26"/>
      <c r="AJ27" s="52"/>
      <c r="AK27" s="50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x14ac:dyDescent="0.25">
      <c r="A28" s="3">
        <v>24</v>
      </c>
      <c r="B28" s="29">
        <v>42930</v>
      </c>
      <c r="C28" s="28" t="s">
        <v>29</v>
      </c>
      <c r="D28" s="28"/>
      <c r="E28" s="28"/>
      <c r="F28" s="28"/>
      <c r="G28" s="28"/>
      <c r="H28" s="28"/>
      <c r="I28" s="28">
        <v>1</v>
      </c>
      <c r="J28" s="33" t="s">
        <v>104</v>
      </c>
      <c r="K28" s="33" t="s">
        <v>103</v>
      </c>
      <c r="L28" s="28" t="s">
        <v>20</v>
      </c>
      <c r="M28" s="28" t="s">
        <v>20</v>
      </c>
      <c r="N28" s="28" t="s">
        <v>20</v>
      </c>
      <c r="O28" s="28" t="s">
        <v>20</v>
      </c>
      <c r="P28" s="28" t="s">
        <v>20</v>
      </c>
      <c r="Q28" s="28" t="s">
        <v>27</v>
      </c>
      <c r="R28" s="28" t="s">
        <v>20</v>
      </c>
      <c r="S28" s="28" t="s">
        <v>20</v>
      </c>
      <c r="U28" s="137" t="s">
        <v>39</v>
      </c>
      <c r="V28" s="12" t="s">
        <v>20</v>
      </c>
      <c r="W28" s="14">
        <f>+COUNTIF(O5:O65,"Si")</f>
        <v>9</v>
      </c>
      <c r="X28" s="125" t="s">
        <v>118</v>
      </c>
      <c r="Y28" s="48" t="s">
        <v>114</v>
      </c>
      <c r="Z28" s="49">
        <f>COUNTIFS($C$5:$C$65,"M",$O$5:O65,"Si")</f>
        <v>3</v>
      </c>
      <c r="AA28" s="128" t="s">
        <v>117</v>
      </c>
      <c r="AB28" s="19" t="s">
        <v>114</v>
      </c>
      <c r="AC28" s="65">
        <f>COUNTIFS($C$5:$C$65,"M",$O$5:$O$65,"No")</f>
        <v>9</v>
      </c>
      <c r="AD28" s="128" t="s">
        <v>117</v>
      </c>
      <c r="AE28" s="19" t="s">
        <v>4</v>
      </c>
      <c r="AF28" s="19">
        <f>COUNTIFS($D$5:$D$65,"1",$O$5:$O$65,"No")</f>
        <v>11</v>
      </c>
      <c r="AG28" s="19" t="s">
        <v>7</v>
      </c>
      <c r="AH28" s="19">
        <f>COUNTIFS($G$5:$G$65,"1",$O$5:$O$65,"No")</f>
        <v>3</v>
      </c>
      <c r="AI28" s="19" t="s">
        <v>29</v>
      </c>
      <c r="AJ28" s="66">
        <f>COUNTIFS($I$5:$I$65,"Blanco",$O$5:$O$65,"No")</f>
        <v>0</v>
      </c>
      <c r="AK28" s="50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x14ac:dyDescent="0.25">
      <c r="A29" s="3">
        <v>25</v>
      </c>
      <c r="B29" s="29">
        <v>42930</v>
      </c>
      <c r="C29" s="28" t="s">
        <v>29</v>
      </c>
      <c r="D29" s="28"/>
      <c r="E29" s="28"/>
      <c r="F29" s="28"/>
      <c r="G29" s="28"/>
      <c r="H29" s="28"/>
      <c r="I29" s="28">
        <v>1</v>
      </c>
      <c r="J29" s="33" t="s">
        <v>104</v>
      </c>
      <c r="K29" s="33" t="s">
        <v>103</v>
      </c>
      <c r="L29" s="28" t="s">
        <v>20</v>
      </c>
      <c r="M29" s="28" t="s">
        <v>20</v>
      </c>
      <c r="N29" s="28" t="s">
        <v>20</v>
      </c>
      <c r="O29" s="28" t="s">
        <v>20</v>
      </c>
      <c r="P29" s="28" t="s">
        <v>20</v>
      </c>
      <c r="Q29" s="28" t="s">
        <v>27</v>
      </c>
      <c r="R29" s="28" t="s">
        <v>20</v>
      </c>
      <c r="S29" s="28" t="s">
        <v>20</v>
      </c>
      <c r="U29" s="109"/>
      <c r="V29" s="9" t="s">
        <v>25</v>
      </c>
      <c r="W29" s="15">
        <f>+COUNTIF(O5:O65,"No")</f>
        <v>22</v>
      </c>
      <c r="X29" s="126"/>
      <c r="Y29" s="6" t="s">
        <v>115</v>
      </c>
      <c r="Z29" s="51">
        <f>COUNTIFS($C$5:$C$65,"F",$O$5:$O$65,"Si")</f>
        <v>2</v>
      </c>
      <c r="AA29" s="129"/>
      <c r="AB29" s="35" t="s">
        <v>115</v>
      </c>
      <c r="AC29" s="67">
        <f>COUNTIFS($C$2:$C$65,"F",$O$2:$O$65,"No")</f>
        <v>13</v>
      </c>
      <c r="AD29" s="129"/>
      <c r="AE29" s="35" t="s">
        <v>5</v>
      </c>
      <c r="AF29" s="35">
        <f>COUNTIFS($E$5:$E$65,"1",$O$5:$O$65,"No")</f>
        <v>2</v>
      </c>
      <c r="AG29" s="9" t="s">
        <v>8</v>
      </c>
      <c r="AH29" s="35">
        <f>COUNTIFS($H$5:$H$65,"1",$O$5:$O$65,"No")</f>
        <v>2</v>
      </c>
      <c r="AI29" s="35"/>
      <c r="AJ29" s="68"/>
      <c r="AK29" s="50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5.75" thickBot="1" x14ac:dyDescent="0.3">
      <c r="A30" s="3">
        <v>26</v>
      </c>
      <c r="B30" s="29">
        <v>42930</v>
      </c>
      <c r="C30" s="28" t="s">
        <v>30</v>
      </c>
      <c r="D30" s="28"/>
      <c r="E30" s="28"/>
      <c r="F30" s="28"/>
      <c r="G30" s="28"/>
      <c r="H30" s="28">
        <v>1</v>
      </c>
      <c r="I30" s="28"/>
      <c r="J30" s="33" t="s">
        <v>104</v>
      </c>
      <c r="K30" s="33" t="s">
        <v>103</v>
      </c>
      <c r="L30" s="28" t="s">
        <v>20</v>
      </c>
      <c r="M30" s="28" t="s">
        <v>20</v>
      </c>
      <c r="N30" s="28" t="s">
        <v>20</v>
      </c>
      <c r="O30" s="28" t="s">
        <v>20</v>
      </c>
      <c r="P30" s="28" t="s">
        <v>20</v>
      </c>
      <c r="Q30" s="28" t="s">
        <v>27</v>
      </c>
      <c r="R30" s="28" t="s">
        <v>20</v>
      </c>
      <c r="S30" s="28" t="s">
        <v>20</v>
      </c>
      <c r="U30" s="110"/>
      <c r="V30" s="13" t="s">
        <v>29</v>
      </c>
      <c r="W30" s="16">
        <f>+COUNTIF(O5:O65,"Blanco")</f>
        <v>0</v>
      </c>
      <c r="X30" s="127"/>
      <c r="Y30" s="26" t="s">
        <v>29</v>
      </c>
      <c r="Z30" s="52">
        <f>COUNTIFS($C$5:$C$65,"Blanco",$O$5:$O$65,"Si")</f>
        <v>4</v>
      </c>
      <c r="AA30" s="130"/>
      <c r="AB30" s="27" t="s">
        <v>29</v>
      </c>
      <c r="AC30" s="69">
        <f>COUNTIFS($C$2:$C$65,"Blanco",$O$2:$O$65,"No")</f>
        <v>0</v>
      </c>
      <c r="AD30" s="130"/>
      <c r="AE30" s="27" t="s">
        <v>6</v>
      </c>
      <c r="AF30" s="27">
        <f>COUNTIFS($F$5:$F$65,"1",$O$5:$O$65,"No")</f>
        <v>2</v>
      </c>
      <c r="AG30" s="27" t="s">
        <v>9</v>
      </c>
      <c r="AH30" s="27">
        <f>COUNTIFS($I$5:$I$65,"1",$O$5:$O$65,"No")</f>
        <v>2</v>
      </c>
      <c r="AI30" s="27"/>
      <c r="AJ30" s="70"/>
      <c r="AK30" s="50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x14ac:dyDescent="0.25">
      <c r="A31" s="3">
        <v>27</v>
      </c>
      <c r="B31" s="29">
        <v>42930</v>
      </c>
      <c r="C31" s="28" t="s">
        <v>30</v>
      </c>
      <c r="D31" s="28"/>
      <c r="E31" s="28"/>
      <c r="F31" s="28"/>
      <c r="G31" s="28">
        <v>1</v>
      </c>
      <c r="H31" s="28"/>
      <c r="I31" s="28"/>
      <c r="J31" s="33" t="s">
        <v>104</v>
      </c>
      <c r="K31" s="33" t="s">
        <v>103</v>
      </c>
      <c r="L31" s="28" t="s">
        <v>20</v>
      </c>
      <c r="M31" s="28" t="s">
        <v>20</v>
      </c>
      <c r="N31" s="28" t="s">
        <v>20</v>
      </c>
      <c r="O31" s="28" t="s">
        <v>20</v>
      </c>
      <c r="P31" s="28" t="s">
        <v>20</v>
      </c>
      <c r="Q31" s="28" t="s">
        <v>27</v>
      </c>
      <c r="R31" s="28" t="s">
        <v>20</v>
      </c>
      <c r="S31" s="28" t="s">
        <v>20</v>
      </c>
      <c r="U31" s="137" t="s">
        <v>40</v>
      </c>
      <c r="V31" s="12" t="s">
        <v>20</v>
      </c>
      <c r="W31" s="14">
        <f>+COUNTIF(P5:P65,"Si")</f>
        <v>8</v>
      </c>
      <c r="X31" s="125" t="s">
        <v>118</v>
      </c>
      <c r="Y31" s="48" t="s">
        <v>114</v>
      </c>
      <c r="Z31" s="49">
        <f>COUNTIFS($C$5:$C$65,"M",$P$5:$P$65,"Si")</f>
        <v>3</v>
      </c>
      <c r="AA31" s="128" t="s">
        <v>117</v>
      </c>
      <c r="AB31" s="19" t="s">
        <v>114</v>
      </c>
      <c r="AC31" s="65">
        <f>COUNTIFS($C$5:$C$65,"M",$P$5:$P$65,"No")</f>
        <v>9</v>
      </c>
      <c r="AD31" s="128" t="s">
        <v>117</v>
      </c>
      <c r="AE31" s="19" t="s">
        <v>4</v>
      </c>
      <c r="AF31" s="19">
        <f>COUNTIFS($D$5:$D$65,"1",$P$5:$P$65,"No")</f>
        <v>10</v>
      </c>
      <c r="AG31" s="19" t="s">
        <v>7</v>
      </c>
      <c r="AH31" s="19">
        <f>COUNTIFS($G$5:$G$65,"1",$P$5:$P$65,"No")</f>
        <v>3</v>
      </c>
      <c r="AI31" s="19" t="s">
        <v>29</v>
      </c>
      <c r="AJ31" s="66">
        <f>COUNTIFS($I$5:$I$65,"Blanco",$P$5:$P$65,"No")</f>
        <v>0</v>
      </c>
      <c r="AK31" s="50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x14ac:dyDescent="0.25">
      <c r="A32" s="3">
        <v>28</v>
      </c>
      <c r="B32" s="29">
        <v>42930</v>
      </c>
      <c r="C32" s="28" t="s">
        <v>29</v>
      </c>
      <c r="D32" s="28"/>
      <c r="E32" s="28"/>
      <c r="F32" s="28"/>
      <c r="G32" s="28"/>
      <c r="H32" s="28">
        <v>1</v>
      </c>
      <c r="I32" s="28"/>
      <c r="J32" s="33" t="s">
        <v>104</v>
      </c>
      <c r="K32" s="33" t="s">
        <v>103</v>
      </c>
      <c r="L32" s="28" t="s">
        <v>20</v>
      </c>
      <c r="M32" s="28" t="s">
        <v>20</v>
      </c>
      <c r="N32" s="28" t="s">
        <v>20</v>
      </c>
      <c r="O32" s="28" t="s">
        <v>20</v>
      </c>
      <c r="P32" s="28" t="s">
        <v>20</v>
      </c>
      <c r="Q32" s="28" t="s">
        <v>27</v>
      </c>
      <c r="R32" s="28" t="s">
        <v>20</v>
      </c>
      <c r="S32" s="28" t="s">
        <v>20</v>
      </c>
      <c r="U32" s="109"/>
      <c r="V32" s="9" t="s">
        <v>25</v>
      </c>
      <c r="W32" s="15">
        <f>+COUNTIF(P5:P65,"No")</f>
        <v>23</v>
      </c>
      <c r="X32" s="126"/>
      <c r="Y32" s="6" t="s">
        <v>115</v>
      </c>
      <c r="Z32" s="51">
        <f>COUNTIFS($C$5:$C$65,"F",$P$5:$P$65,"Si")</f>
        <v>2</v>
      </c>
      <c r="AA32" s="129"/>
      <c r="AB32" s="35" t="s">
        <v>115</v>
      </c>
      <c r="AC32" s="67">
        <f>COUNTIFS($C$5:$C$65,"F",$P$5:$P$65,"NO")</f>
        <v>13</v>
      </c>
      <c r="AD32" s="129"/>
      <c r="AE32" s="35" t="s">
        <v>5</v>
      </c>
      <c r="AF32" s="35">
        <f>COUNTIFS($E$5:$E$65,"1",$P$5:$P$65,"No")</f>
        <v>3</v>
      </c>
      <c r="AG32" s="9" t="s">
        <v>8</v>
      </c>
      <c r="AH32" s="35">
        <f>COUNTIFS($H$5:$H$65,"1",$P$5:$P$65,"No")</f>
        <v>3</v>
      </c>
      <c r="AI32" s="35"/>
      <c r="AJ32" s="68"/>
      <c r="AK32" s="50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5.75" thickBot="1" x14ac:dyDescent="0.3">
      <c r="A33" s="3">
        <v>29</v>
      </c>
      <c r="B33" s="29">
        <v>42930</v>
      </c>
      <c r="C33" s="28" t="s">
        <v>29</v>
      </c>
      <c r="D33" s="28"/>
      <c r="E33" s="28">
        <v>1</v>
      </c>
      <c r="F33" s="28"/>
      <c r="G33" s="28"/>
      <c r="H33" s="28"/>
      <c r="I33" s="28"/>
      <c r="J33" s="33" t="s">
        <v>104</v>
      </c>
      <c r="K33" s="33" t="s">
        <v>103</v>
      </c>
      <c r="L33" s="28" t="s">
        <v>20</v>
      </c>
      <c r="M33" s="28" t="s">
        <v>20</v>
      </c>
      <c r="N33" s="28" t="s">
        <v>20</v>
      </c>
      <c r="O33" s="28" t="s">
        <v>20</v>
      </c>
      <c r="P33" s="28" t="s">
        <v>25</v>
      </c>
      <c r="Q33" s="28" t="s">
        <v>28</v>
      </c>
      <c r="R33" s="28" t="s">
        <v>20</v>
      </c>
      <c r="S33" s="28" t="s">
        <v>20</v>
      </c>
      <c r="U33" s="110"/>
      <c r="V33" s="13" t="s">
        <v>29</v>
      </c>
      <c r="W33" s="16">
        <f>+COUNTIF(P5:P65,"Blanco")</f>
        <v>0</v>
      </c>
      <c r="X33" s="154"/>
      <c r="Y33" s="34" t="s">
        <v>29</v>
      </c>
      <c r="Z33" s="53">
        <f>COUNTIFS($C$5:$C$65,"Blanco",$P$5:$P$65,"Si")</f>
        <v>3</v>
      </c>
      <c r="AA33" s="153"/>
      <c r="AB33" s="71" t="s">
        <v>29</v>
      </c>
      <c r="AC33" s="72">
        <f>COUNTIFS($C$5:$C$65,"Blanco",$P$5:$P$65,"No")</f>
        <v>1</v>
      </c>
      <c r="AD33" s="130"/>
      <c r="AE33" s="27" t="s">
        <v>6</v>
      </c>
      <c r="AF33" s="27">
        <f>COUNTIFS($F$5:$F$65,"1",$P$5:$P$65,"No")</f>
        <v>2</v>
      </c>
      <c r="AG33" s="71" t="s">
        <v>9</v>
      </c>
      <c r="AH33" s="71">
        <f>COUNTIFS($I$5:$I$65,"1",$P$5:$P$65,"No")</f>
        <v>2</v>
      </c>
      <c r="AI33" s="71"/>
      <c r="AJ33" s="73"/>
      <c r="AK33" s="5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</row>
    <row r="34" spans="1:50" x14ac:dyDescent="0.25">
      <c r="A34" s="3">
        <v>30</v>
      </c>
      <c r="B34" s="29">
        <v>42930</v>
      </c>
      <c r="C34" s="28" t="s">
        <v>23</v>
      </c>
      <c r="D34" s="28"/>
      <c r="E34" s="28">
        <v>1</v>
      </c>
      <c r="F34" s="28"/>
      <c r="G34" s="28"/>
      <c r="H34" s="28"/>
      <c r="I34" s="28"/>
      <c r="J34" s="33" t="s">
        <v>104</v>
      </c>
      <c r="K34" s="33" t="s">
        <v>103</v>
      </c>
      <c r="L34" s="28" t="s">
        <v>20</v>
      </c>
      <c r="M34" s="28" t="s">
        <v>20</v>
      </c>
      <c r="N34" s="28" t="s">
        <v>20</v>
      </c>
      <c r="O34" s="28" t="s">
        <v>20</v>
      </c>
      <c r="P34" s="28" t="s">
        <v>20</v>
      </c>
      <c r="Q34" s="28" t="s">
        <v>27</v>
      </c>
      <c r="R34" s="28" t="s">
        <v>20</v>
      </c>
      <c r="S34" s="28" t="s">
        <v>20</v>
      </c>
      <c r="U34" s="137" t="s">
        <v>41</v>
      </c>
      <c r="V34" s="12" t="s">
        <v>27</v>
      </c>
      <c r="W34" s="14">
        <f>+COUNTIF(Q5:Q65,"Elevada")</f>
        <v>18</v>
      </c>
      <c r="X34" s="125" t="s">
        <v>116</v>
      </c>
      <c r="Y34" s="48" t="s">
        <v>114</v>
      </c>
      <c r="Z34" s="49">
        <f>COUNTIFS($C$5:$C$65,"M",$Q$5:$Q$65,"Elevada")</f>
        <v>5</v>
      </c>
      <c r="AA34" s="125" t="s">
        <v>119</v>
      </c>
      <c r="AB34" s="48" t="s">
        <v>114</v>
      </c>
      <c r="AC34" s="49">
        <f>COUNTIFS($C$5:$C$65,"M",$Q$5:$Q$65,"Alguna")</f>
        <v>4</v>
      </c>
      <c r="AD34" s="125" t="s">
        <v>120</v>
      </c>
      <c r="AE34" s="48" t="s">
        <v>114</v>
      </c>
      <c r="AF34" s="49">
        <f>COUNTIFS($C$5:$C$65,"M",$Q$5:$Q$65,"Poca")</f>
        <v>1</v>
      </c>
      <c r="AG34" s="125" t="s">
        <v>121</v>
      </c>
      <c r="AH34" s="48" t="s">
        <v>114</v>
      </c>
      <c r="AI34" s="55">
        <f>COUNTIFS($C$5:$C$65,"M",$Q$5:$Q$65,"Ninguna")</f>
        <v>2</v>
      </c>
      <c r="AJ34" s="55"/>
      <c r="AK34" s="125" t="s">
        <v>122</v>
      </c>
      <c r="AL34" s="56" t="s">
        <v>4</v>
      </c>
      <c r="AM34" s="48">
        <f>COUNTIFS($D$5:$D$65,"1",$Q$5:$Q$65,"Elevada")</f>
        <v>9</v>
      </c>
      <c r="AN34" s="48" t="s">
        <v>7</v>
      </c>
      <c r="AO34" s="48">
        <f>COUNTIFS($G$5:$G$65,"1",$Q$5:$Q$65,"Elevada")</f>
        <v>2</v>
      </c>
      <c r="AP34" s="48" t="s">
        <v>29</v>
      </c>
      <c r="AQ34" s="49">
        <f>COUNTIFS($I$5:$I$65,"Blanco",$Q$5:$Q$65,"Elevada")</f>
        <v>0</v>
      </c>
      <c r="AR34" s="125" t="s">
        <v>119</v>
      </c>
      <c r="AS34" s="48" t="s">
        <v>4</v>
      </c>
      <c r="AT34" s="48">
        <f>COUNTIFS($D$5:$D$65,"1",$Q$5:$Q$65,"Alguna")</f>
        <v>2</v>
      </c>
      <c r="AU34" s="48" t="s">
        <v>7</v>
      </c>
      <c r="AV34" s="48">
        <f>COUNTIFS($G$5:$G$65,"1",$Q$5:$Q$65,"Alguna")</f>
        <v>1</v>
      </c>
      <c r="AW34" s="48" t="s">
        <v>29</v>
      </c>
      <c r="AX34" s="49">
        <f>COUNTIFS($I$5:$I$65,"Blanco",$Q$5:$Q$65,"Alguna")</f>
        <v>0</v>
      </c>
    </row>
    <row r="35" spans="1:50" x14ac:dyDescent="0.25">
      <c r="A35" s="3">
        <v>31</v>
      </c>
      <c r="B35" s="29">
        <v>42930</v>
      </c>
      <c r="C35" s="28" t="s">
        <v>30</v>
      </c>
      <c r="D35" s="28">
        <v>1</v>
      </c>
      <c r="E35" s="28"/>
      <c r="F35" s="28"/>
      <c r="G35" s="28"/>
      <c r="H35" s="28"/>
      <c r="I35" s="28"/>
      <c r="J35" s="33" t="s">
        <v>104</v>
      </c>
      <c r="K35" s="33" t="s">
        <v>103</v>
      </c>
      <c r="L35" s="28" t="s">
        <v>20</v>
      </c>
      <c r="M35" s="28" t="s">
        <v>20</v>
      </c>
      <c r="N35" s="28" t="s">
        <v>25</v>
      </c>
      <c r="O35" s="28" t="s">
        <v>25</v>
      </c>
      <c r="P35" s="28" t="s">
        <v>25</v>
      </c>
      <c r="Q35" s="28" t="s">
        <v>28</v>
      </c>
      <c r="R35" s="28" t="s">
        <v>20</v>
      </c>
      <c r="S35" s="28" t="s">
        <v>20</v>
      </c>
      <c r="U35" s="109"/>
      <c r="V35" s="9" t="s">
        <v>28</v>
      </c>
      <c r="W35" s="15">
        <f>+COUNTIF(Q5:Q65,"Alguna")</f>
        <v>6</v>
      </c>
      <c r="X35" s="126"/>
      <c r="Y35" s="6" t="s">
        <v>115</v>
      </c>
      <c r="Z35" s="51">
        <f>COUNTIFS($C$5:$C$65,"F",$Q$5:$Q$65,"Elevada")</f>
        <v>10</v>
      </c>
      <c r="AA35" s="126"/>
      <c r="AB35" s="6" t="s">
        <v>115</v>
      </c>
      <c r="AC35" s="51">
        <f>COUNTIFS($C$5:$C$65,"F",$Q$5:$Q$65,"Alguna")</f>
        <v>1</v>
      </c>
      <c r="AD35" s="126"/>
      <c r="AE35" s="6" t="s">
        <v>115</v>
      </c>
      <c r="AF35" s="51">
        <f>COUNTIFS($C$5:$C$65,"F",$Q$5:$Q$65,"Poca")</f>
        <v>2</v>
      </c>
      <c r="AG35" s="126"/>
      <c r="AH35" s="6" t="s">
        <v>115</v>
      </c>
      <c r="AI35" s="57">
        <f>COUNTIFS($C$5:$C$65,"F",$Q$5:$Q$65,"Ninguna")</f>
        <v>2</v>
      </c>
      <c r="AJ35" s="57"/>
      <c r="AK35" s="126"/>
      <c r="AL35" s="50" t="s">
        <v>5</v>
      </c>
      <c r="AM35" s="6">
        <f>COUNTIFS($E$5:$E$65,"1",$Q$5:$Q$65,"Elevada")</f>
        <v>3</v>
      </c>
      <c r="AN35" s="39" t="s">
        <v>8</v>
      </c>
      <c r="AO35" s="6">
        <f>COUNTIFS($H$5:$H$65,"1",$Q$5:$Q$65,"Elevada")</f>
        <v>2</v>
      </c>
      <c r="AP35" s="6"/>
      <c r="AQ35" s="51"/>
      <c r="AR35" s="126"/>
      <c r="AS35" s="6" t="s">
        <v>5</v>
      </c>
      <c r="AT35" s="6">
        <f>COUNTIFS($E$5:$E$65,"1",$Q$5:$Q$65,"Alguna")</f>
        <v>2</v>
      </c>
      <c r="AU35" s="39" t="s">
        <v>8</v>
      </c>
      <c r="AV35" s="6">
        <f>COUNTIFS($H$5:$H$65,"1",$Q$5:$Q$65,"Alguna")</f>
        <v>0</v>
      </c>
      <c r="AW35" s="6"/>
      <c r="AX35" s="51"/>
    </row>
    <row r="36" spans="1:50" ht="15.75" thickBot="1" x14ac:dyDescent="0.3">
      <c r="A36" s="3">
        <v>32</v>
      </c>
      <c r="B36" s="29"/>
      <c r="C36" s="28"/>
      <c r="D36" s="28"/>
      <c r="E36" s="28"/>
      <c r="F36" s="28"/>
      <c r="G36" s="28"/>
      <c r="H36" s="28"/>
      <c r="I36" s="28"/>
      <c r="J36" s="33"/>
      <c r="K36" s="33"/>
      <c r="L36" s="28"/>
      <c r="M36" s="28"/>
      <c r="N36" s="28"/>
      <c r="O36" s="28"/>
      <c r="P36" s="28"/>
      <c r="Q36" s="28"/>
      <c r="R36" s="28"/>
      <c r="S36" s="28"/>
      <c r="U36" s="109"/>
      <c r="V36" s="9" t="s">
        <v>26</v>
      </c>
      <c r="W36" s="15">
        <f>+COUNTIF(Q5:Q65,"Poca")</f>
        <v>3</v>
      </c>
      <c r="X36" s="127"/>
      <c r="Y36" s="26" t="s">
        <v>29</v>
      </c>
      <c r="Z36" s="52">
        <f>COUNTIFS($C$5:$C$65,"Blanco",Q5:Q65,"Elevada")</f>
        <v>3</v>
      </c>
      <c r="AA36" s="127"/>
      <c r="AB36" s="26" t="s">
        <v>29</v>
      </c>
      <c r="AC36" s="52">
        <f>COUNTIFS($C$5:$C$65,"Blanco",$Q$5:$Q$65,"Alguna")</f>
        <v>1</v>
      </c>
      <c r="AD36" s="127"/>
      <c r="AE36" s="26" t="s">
        <v>29</v>
      </c>
      <c r="AF36" s="52">
        <f>COUNTIFS($C$5:$C$65,"Blanco",$Q$5:$Q$65,"Poca")</f>
        <v>0</v>
      </c>
      <c r="AG36" s="127"/>
      <c r="AH36" s="26" t="s">
        <v>29</v>
      </c>
      <c r="AI36" s="58">
        <f>COUNTIFS($C$5:$C$65,"Blanco",$Q$5:$Q$65,"Ninguna")</f>
        <v>0</v>
      </c>
      <c r="AJ36" s="58"/>
      <c r="AK36" s="127"/>
      <c r="AL36" s="59" t="s">
        <v>6</v>
      </c>
      <c r="AM36" s="26">
        <f>COUNTIFS($F$5:$F$65,"1",$Q$5:$Q$65,"Elevada")</f>
        <v>0</v>
      </c>
      <c r="AN36" s="26" t="s">
        <v>9</v>
      </c>
      <c r="AO36" s="26">
        <f>COUNTIFS(I5:$I$65,"1",$Q$5:$Q$65,"Elevada")</f>
        <v>2</v>
      </c>
      <c r="AP36" s="26"/>
      <c r="AQ36" s="52"/>
      <c r="AR36" s="127"/>
      <c r="AS36" s="26" t="s">
        <v>6</v>
      </c>
      <c r="AT36" s="26">
        <f>COUNTIFS($F$5:$F$65,"1",$Q$5:$Q$65,"Alguna")</f>
        <v>1</v>
      </c>
      <c r="AU36" s="26" t="s">
        <v>9</v>
      </c>
      <c r="AV36" s="26">
        <f>COUNTIFS($I$5:$I$65,"1",$Q$5:$Q$65,"Alguna")</f>
        <v>0</v>
      </c>
      <c r="AW36" s="26"/>
      <c r="AX36" s="52"/>
    </row>
    <row r="37" spans="1:50" ht="15.75" thickBot="1" x14ac:dyDescent="0.3">
      <c r="A37" s="3">
        <v>33</v>
      </c>
      <c r="B37" s="29"/>
      <c r="C37" s="28"/>
      <c r="D37" s="28"/>
      <c r="E37" s="28"/>
      <c r="F37" s="28"/>
      <c r="G37" s="28"/>
      <c r="H37" s="28"/>
      <c r="I37" s="28"/>
      <c r="J37" s="33"/>
      <c r="K37" s="33"/>
      <c r="L37" s="28"/>
      <c r="M37" s="28"/>
      <c r="N37" s="28"/>
      <c r="O37" s="28"/>
      <c r="P37" s="28"/>
      <c r="Q37" s="28"/>
      <c r="R37" s="28"/>
      <c r="S37" s="28"/>
      <c r="U37" s="110"/>
      <c r="V37" s="13" t="s">
        <v>34</v>
      </c>
      <c r="W37" s="16">
        <f>+COUNTIF(Q5:Q65,"Ninguna")</f>
        <v>4</v>
      </c>
      <c r="X37" s="47"/>
      <c r="Y37" s="60"/>
      <c r="Z37" s="62"/>
      <c r="AA37" s="63"/>
      <c r="AB37" s="60"/>
      <c r="AC37" s="64"/>
      <c r="AD37" s="60"/>
      <c r="AE37" s="60"/>
      <c r="AG37" s="60"/>
      <c r="AH37" s="60"/>
      <c r="AI37" s="60"/>
      <c r="AJ37" s="60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</row>
    <row r="38" spans="1:50" x14ac:dyDescent="0.25">
      <c r="A38" s="3">
        <v>34</v>
      </c>
      <c r="B38" s="29"/>
      <c r="C38" s="28"/>
      <c r="D38" s="28"/>
      <c r="E38" s="28"/>
      <c r="F38" s="28"/>
      <c r="G38" s="28"/>
      <c r="H38" s="28"/>
      <c r="I38" s="28"/>
      <c r="J38" s="33"/>
      <c r="K38" s="33"/>
      <c r="L38" s="28"/>
      <c r="M38" s="28"/>
      <c r="N38" s="28"/>
      <c r="O38" s="28"/>
      <c r="P38" s="28"/>
      <c r="Q38" s="28"/>
      <c r="R38" s="28"/>
      <c r="S38" s="28"/>
      <c r="U38" s="137" t="s">
        <v>42</v>
      </c>
      <c r="V38" s="12" t="s">
        <v>20</v>
      </c>
      <c r="W38" s="14">
        <f>+COUNTIF(R5:R65,"Si")</f>
        <v>24</v>
      </c>
      <c r="X38" s="125" t="s">
        <v>118</v>
      </c>
      <c r="Y38" s="48" t="s">
        <v>114</v>
      </c>
      <c r="Z38" s="49">
        <f>COUNTIFS($C$5:$C$65,"M",$R$5:$R$65,"Si")</f>
        <v>9</v>
      </c>
      <c r="AA38" s="125" t="s">
        <v>117</v>
      </c>
      <c r="AB38" s="48" t="s">
        <v>114</v>
      </c>
      <c r="AC38" s="55">
        <f>COUNTIFS($C$5:$C$65,"M",$R$5:$R$65,"No")</f>
        <v>3</v>
      </c>
      <c r="AD38" s="125" t="s">
        <v>118</v>
      </c>
      <c r="AE38" s="48" t="s">
        <v>4</v>
      </c>
      <c r="AF38" s="48">
        <f>COUNTIFS($D$5:$D$65,"1",$R$5:$R$65,"Si")</f>
        <v>9</v>
      </c>
      <c r="AG38" s="48" t="s">
        <v>7</v>
      </c>
      <c r="AH38" s="48">
        <f>COUNTIFS($G$5:$G$65,"1",$R$5:$R$65,"Si")</f>
        <v>3</v>
      </c>
      <c r="AI38" s="48" t="s">
        <v>29</v>
      </c>
      <c r="AJ38" s="49">
        <f>COUNTIFS($I$5:$I$65,"Blanco",$R$5:$R$65,"Si")</f>
        <v>0</v>
      </c>
      <c r="AK38" s="50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x14ac:dyDescent="0.25">
      <c r="A39" s="3">
        <v>35</v>
      </c>
      <c r="B39" s="29"/>
      <c r="C39" s="28"/>
      <c r="D39" s="28"/>
      <c r="E39" s="28"/>
      <c r="F39" s="28"/>
      <c r="G39" s="28"/>
      <c r="H39" s="28"/>
      <c r="I39" s="28"/>
      <c r="J39" s="33"/>
      <c r="K39" s="33"/>
      <c r="L39" s="28"/>
      <c r="M39" s="28"/>
      <c r="N39" s="28"/>
      <c r="O39" s="28"/>
      <c r="P39" s="28"/>
      <c r="Q39" s="28"/>
      <c r="R39" s="28"/>
      <c r="S39" s="28"/>
      <c r="U39" s="109"/>
      <c r="V39" s="9" t="s">
        <v>25</v>
      </c>
      <c r="W39" s="15">
        <f>+COUNTIF(R5:R65,"No")</f>
        <v>7</v>
      </c>
      <c r="X39" s="126"/>
      <c r="Y39" s="6" t="s">
        <v>115</v>
      </c>
      <c r="Z39" s="51">
        <f>COUNTIFS($C$5:$C$65,"F",$R$5:$R$65,"Si")</f>
        <v>11</v>
      </c>
      <c r="AA39" s="126"/>
      <c r="AB39" s="6" t="s">
        <v>115</v>
      </c>
      <c r="AC39" s="57">
        <f>COUNTIFS($C$5:$C$65,"F",$R$5:$R$65,"No")</f>
        <v>4</v>
      </c>
      <c r="AD39" s="126"/>
      <c r="AE39" s="6" t="s">
        <v>5</v>
      </c>
      <c r="AF39" s="6">
        <f>COUNTIFS($E$5:$E$65,"1",$R$5:$R$65,"Si")</f>
        <v>5</v>
      </c>
      <c r="AG39" s="39" t="s">
        <v>8</v>
      </c>
      <c r="AH39" s="6">
        <f>COUNTIFS($H$5:$H$65,"1",$R$5:$R$65,"Si")</f>
        <v>2</v>
      </c>
      <c r="AI39" s="6"/>
      <c r="AJ39" s="51"/>
      <c r="AK39" s="50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5.75" thickBot="1" x14ac:dyDescent="0.3">
      <c r="A40" s="3">
        <v>36</v>
      </c>
      <c r="B40" s="29"/>
      <c r="C40" s="31"/>
      <c r="D40" s="28"/>
      <c r="E40" s="28"/>
      <c r="F40" s="28"/>
      <c r="G40" s="28"/>
      <c r="H40" s="28"/>
      <c r="I40" s="28"/>
      <c r="J40" s="33"/>
      <c r="K40" s="33"/>
      <c r="L40" s="31"/>
      <c r="M40" s="31"/>
      <c r="N40" s="31"/>
      <c r="O40" s="31"/>
      <c r="P40" s="31"/>
      <c r="Q40" s="31"/>
      <c r="R40" s="31"/>
      <c r="S40" s="31"/>
      <c r="U40" s="110"/>
      <c r="V40" s="13" t="s">
        <v>29</v>
      </c>
      <c r="W40" s="16">
        <f>+COUNTIF(R5:R65,"Blanco")</f>
        <v>0</v>
      </c>
      <c r="X40" s="127"/>
      <c r="Y40" s="26" t="s">
        <v>29</v>
      </c>
      <c r="Z40" s="52">
        <f>COUNTIFS($C$5:$C$65,"Blanco",$R$5:$R$65,"Si")</f>
        <v>4</v>
      </c>
      <c r="AA40" s="127"/>
      <c r="AB40" s="26" t="s">
        <v>29</v>
      </c>
      <c r="AC40" s="58">
        <f>COUNTIFS($C$5:$C$65,"Blanco",$R$5:$R$65,"No")</f>
        <v>0</v>
      </c>
      <c r="AD40" s="127"/>
      <c r="AE40" s="26" t="s">
        <v>6</v>
      </c>
      <c r="AF40" s="26">
        <f>COUNTIFS($F$5:$F$65,"1",$R$5:$R$65,"Si")</f>
        <v>1</v>
      </c>
      <c r="AG40" s="26" t="s">
        <v>9</v>
      </c>
      <c r="AH40" s="26">
        <f>COUNTIFS($I$5:$I$65,"1",$R$5:$R$65,"Si")</f>
        <v>4</v>
      </c>
      <c r="AI40" s="26"/>
      <c r="AJ40" s="52"/>
      <c r="AK40" s="50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x14ac:dyDescent="0.25">
      <c r="A41" s="3">
        <v>37</v>
      </c>
      <c r="B41" s="29"/>
      <c r="C41" s="31"/>
      <c r="D41" s="28"/>
      <c r="E41" s="28"/>
      <c r="F41" s="28"/>
      <c r="G41" s="28"/>
      <c r="H41" s="28"/>
      <c r="I41" s="28"/>
      <c r="J41" s="33"/>
      <c r="K41" s="28"/>
      <c r="L41" s="31"/>
      <c r="M41" s="31"/>
      <c r="N41" s="31"/>
      <c r="O41" s="31"/>
      <c r="P41" s="31"/>
      <c r="Q41" s="31"/>
      <c r="R41" s="31"/>
      <c r="S41" s="31"/>
      <c r="U41" s="137" t="s">
        <v>43</v>
      </c>
      <c r="V41" s="12" t="s">
        <v>20</v>
      </c>
      <c r="W41" s="14">
        <f>+COUNTIF(S5:S65,"Si")</f>
        <v>25</v>
      </c>
      <c r="X41" s="125" t="s">
        <v>118</v>
      </c>
      <c r="Y41" s="48" t="s">
        <v>114</v>
      </c>
      <c r="Z41" s="49">
        <f>COUNTIFS($C$5:$C$65,"M",$S$5:$S$65,"Si")</f>
        <v>11</v>
      </c>
      <c r="AA41" s="125" t="s">
        <v>117</v>
      </c>
      <c r="AB41" s="48" t="s">
        <v>114</v>
      </c>
      <c r="AC41" s="55">
        <f>COUNTIFS($C$5:$C$65,"M",$S$5:$S$65,"No")</f>
        <v>1</v>
      </c>
      <c r="AD41" s="125" t="s">
        <v>118</v>
      </c>
      <c r="AE41" s="48" t="s">
        <v>4</v>
      </c>
      <c r="AF41" s="48">
        <f>COUNTIFS($D$5:$D$65,"1",$S$5:$S$65,"Si")</f>
        <v>9</v>
      </c>
      <c r="AG41" s="48" t="s">
        <v>7</v>
      </c>
      <c r="AH41" s="48">
        <f>COUNTIFS($G$5:$G$65,"1",$S$5:$S$65,"Si")</f>
        <v>2</v>
      </c>
      <c r="AI41" s="48" t="s">
        <v>29</v>
      </c>
      <c r="AJ41" s="49">
        <f>COUNTIFS($I$5:$I$65,"Blanco",$S$5:$S$65,"Si")</f>
        <v>0</v>
      </c>
      <c r="AK41" s="50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x14ac:dyDescent="0.25">
      <c r="A42" s="3">
        <v>38</v>
      </c>
      <c r="B42" s="29"/>
      <c r="C42" s="28"/>
      <c r="D42" s="28"/>
      <c r="E42" s="28"/>
      <c r="F42" s="28"/>
      <c r="G42" s="28"/>
      <c r="H42" s="28"/>
      <c r="I42" s="28"/>
      <c r="J42" s="33"/>
      <c r="K42" s="28"/>
      <c r="L42" s="28"/>
      <c r="M42" s="28"/>
      <c r="N42" s="28"/>
      <c r="O42" s="28"/>
      <c r="P42" s="28"/>
      <c r="Q42" s="28"/>
      <c r="R42" s="28"/>
      <c r="S42" s="28"/>
      <c r="U42" s="109"/>
      <c r="V42" s="9" t="s">
        <v>25</v>
      </c>
      <c r="W42" s="15">
        <f>+COUNTIF(S5:S65,"No")</f>
        <v>6</v>
      </c>
      <c r="X42" s="126"/>
      <c r="Y42" s="6" t="s">
        <v>115</v>
      </c>
      <c r="Z42" s="51">
        <f>COUNTIFS($C$5:$C$65,"F",$S$5:$S$65,"Si")</f>
        <v>10</v>
      </c>
      <c r="AA42" s="126"/>
      <c r="AB42" s="6" t="s">
        <v>115</v>
      </c>
      <c r="AC42" s="57">
        <f>COUNTIFS($C$5:$C$65,"F",$S$5:$S$65,"No")</f>
        <v>5</v>
      </c>
      <c r="AD42" s="126"/>
      <c r="AE42" s="6" t="s">
        <v>5</v>
      </c>
      <c r="AF42" s="6">
        <f>COUNTIFS($E$5:$E$65,"1",$S$6:$S$66,"Si")</f>
        <v>4</v>
      </c>
      <c r="AG42" s="39" t="s">
        <v>8</v>
      </c>
      <c r="AH42" s="6">
        <f>COUNTIFS($H$5:$H$65,"1",$S$5:$S$65,"Si")</f>
        <v>4</v>
      </c>
      <c r="AI42" s="6"/>
      <c r="AJ42" s="51"/>
      <c r="AK42" s="50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5.75" thickBot="1" x14ac:dyDescent="0.3">
      <c r="A43" s="3">
        <v>39</v>
      </c>
      <c r="B43" s="29"/>
      <c r="C43" s="28"/>
      <c r="D43" s="28"/>
      <c r="E43" s="28"/>
      <c r="F43" s="28"/>
      <c r="G43" s="28"/>
      <c r="H43" s="28"/>
      <c r="I43" s="28"/>
      <c r="J43" s="33"/>
      <c r="K43" s="28"/>
      <c r="L43" s="28"/>
      <c r="M43" s="28"/>
      <c r="N43" s="28"/>
      <c r="O43" s="28"/>
      <c r="P43" s="28"/>
      <c r="Q43" s="28"/>
      <c r="R43" s="28"/>
      <c r="S43" s="28"/>
      <c r="U43" s="110"/>
      <c r="V43" s="13" t="s">
        <v>29</v>
      </c>
      <c r="W43" s="16">
        <f>+COUNTIF(S5:S65,"Blanco")</f>
        <v>0</v>
      </c>
      <c r="X43" s="127"/>
      <c r="Y43" s="26" t="s">
        <v>29</v>
      </c>
      <c r="Z43" s="52">
        <f>COUNTIFS($C$5:$C$65,"Blanco",$S$5:$S$65,"Si")</f>
        <v>4</v>
      </c>
      <c r="AA43" s="127"/>
      <c r="AB43" s="26" t="s">
        <v>29</v>
      </c>
      <c r="AC43" s="58">
        <f>COUNTIFS($C$5:$C$65,"Blanco",$S$5:$S$65,"No")</f>
        <v>0</v>
      </c>
      <c r="AD43" s="127"/>
      <c r="AE43" s="26" t="s">
        <v>6</v>
      </c>
      <c r="AF43" s="26">
        <f>COUNTIFS($F$5:$F$65,"1",$S$5:$S$65,"Si")</f>
        <v>2</v>
      </c>
      <c r="AG43" s="26" t="s">
        <v>9</v>
      </c>
      <c r="AH43" s="26">
        <f>COUNTIFS($I$5:$I$65,"1",$S$5:$S$65,"Si")</f>
        <v>3</v>
      </c>
      <c r="AI43" s="26"/>
      <c r="AJ43" s="52"/>
      <c r="AK43" s="50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x14ac:dyDescent="0.25">
      <c r="A44" s="3">
        <v>40</v>
      </c>
      <c r="B44" s="29"/>
      <c r="C44" s="28"/>
      <c r="D44" s="28"/>
      <c r="E44" s="28"/>
      <c r="F44" s="28"/>
      <c r="G44" s="28"/>
      <c r="H44" s="28"/>
      <c r="I44" s="28"/>
      <c r="J44" s="33"/>
      <c r="K44" s="28"/>
      <c r="L44" s="28"/>
      <c r="M44" s="28"/>
      <c r="N44" s="28"/>
      <c r="O44" s="28"/>
      <c r="P44" s="28"/>
      <c r="Q44" s="28"/>
      <c r="R44" s="28"/>
      <c r="S44" s="28"/>
    </row>
    <row r="45" spans="1:50" x14ac:dyDescent="0.25">
      <c r="A45" s="3">
        <v>41</v>
      </c>
      <c r="B45" s="29"/>
      <c r="C45" s="28"/>
      <c r="D45" s="28"/>
      <c r="E45" s="28"/>
      <c r="F45" s="28"/>
      <c r="G45" s="28"/>
      <c r="H45" s="28"/>
      <c r="I45" s="28"/>
      <c r="J45" s="33"/>
      <c r="K45" s="28"/>
      <c r="L45" s="28"/>
      <c r="M45" s="28"/>
      <c r="N45" s="28"/>
      <c r="O45" s="28"/>
      <c r="P45" s="28"/>
      <c r="Q45" s="28"/>
      <c r="R45" s="28"/>
      <c r="S45" s="28"/>
    </row>
    <row r="46" spans="1:50" x14ac:dyDescent="0.25">
      <c r="A46" s="3">
        <v>42</v>
      </c>
      <c r="B46" s="29"/>
      <c r="C46" s="28"/>
      <c r="D46" s="28"/>
      <c r="E46" s="28"/>
      <c r="F46" s="28"/>
      <c r="G46" s="28"/>
      <c r="H46" s="28"/>
      <c r="I46" s="28"/>
      <c r="J46" s="33"/>
      <c r="K46" s="28"/>
      <c r="L46" s="28"/>
      <c r="M46" s="28"/>
      <c r="N46" s="28"/>
      <c r="O46" s="28"/>
      <c r="P46" s="28"/>
      <c r="Q46" s="28"/>
      <c r="R46" s="28"/>
      <c r="S46" s="28"/>
    </row>
    <row r="47" spans="1:50" x14ac:dyDescent="0.25">
      <c r="A47" s="3">
        <v>43</v>
      </c>
      <c r="B47" s="29"/>
      <c r="C47" s="28"/>
      <c r="D47" s="28"/>
      <c r="E47" s="28"/>
      <c r="F47" s="28"/>
      <c r="G47" s="28"/>
      <c r="H47" s="28"/>
      <c r="I47" s="28"/>
      <c r="J47" s="33"/>
      <c r="K47" s="28"/>
      <c r="L47" s="28"/>
      <c r="M47" s="28"/>
      <c r="N47" s="28"/>
      <c r="O47" s="28"/>
      <c r="P47" s="28"/>
      <c r="Q47" s="28"/>
      <c r="R47" s="28"/>
      <c r="S47" s="28"/>
    </row>
    <row r="48" spans="1:50" x14ac:dyDescent="0.25">
      <c r="A48" s="3">
        <v>44</v>
      </c>
      <c r="B48" s="29"/>
      <c r="C48" s="28"/>
      <c r="D48" s="28"/>
      <c r="E48" s="28"/>
      <c r="F48" s="28"/>
      <c r="G48" s="28"/>
      <c r="H48" s="28"/>
      <c r="I48" s="28"/>
      <c r="J48" s="33"/>
      <c r="K48" s="28"/>
      <c r="L48" s="28"/>
      <c r="M48" s="28"/>
      <c r="N48" s="28"/>
      <c r="O48" s="28"/>
      <c r="P48" s="28"/>
      <c r="Q48" s="28"/>
      <c r="R48" s="28"/>
      <c r="S48" s="28"/>
    </row>
    <row r="49" spans="1:19" x14ac:dyDescent="0.25">
      <c r="A49" s="3">
        <v>45</v>
      </c>
      <c r="B49" s="29"/>
      <c r="C49" s="28"/>
      <c r="D49" s="28"/>
      <c r="E49" s="28"/>
      <c r="F49" s="28"/>
      <c r="G49" s="28"/>
      <c r="H49" s="28"/>
      <c r="I49" s="28"/>
      <c r="J49" s="33"/>
      <c r="K49" s="28"/>
      <c r="L49" s="28"/>
      <c r="M49" s="28"/>
      <c r="N49" s="28"/>
      <c r="O49" s="28"/>
      <c r="P49" s="28"/>
      <c r="Q49" s="28"/>
      <c r="R49" s="28"/>
      <c r="S49" s="28"/>
    </row>
    <row r="50" spans="1:19" x14ac:dyDescent="0.25">
      <c r="A50" s="3">
        <v>46</v>
      </c>
      <c r="B50" s="29"/>
      <c r="C50" s="28"/>
      <c r="D50" s="28"/>
      <c r="E50" s="28"/>
      <c r="F50" s="28"/>
      <c r="G50" s="28"/>
      <c r="H50" s="28"/>
      <c r="I50" s="28"/>
      <c r="J50" s="33"/>
      <c r="K50" s="28"/>
      <c r="L50" s="28"/>
      <c r="M50" s="28"/>
      <c r="N50" s="28"/>
      <c r="O50" s="28"/>
      <c r="P50" s="28"/>
      <c r="Q50" s="28"/>
      <c r="R50" s="28"/>
      <c r="S50" s="28"/>
    </row>
    <row r="51" spans="1:19" x14ac:dyDescent="0.25">
      <c r="A51" s="3">
        <v>47</v>
      </c>
      <c r="B51" s="29"/>
      <c r="C51" s="28"/>
      <c r="D51" s="28"/>
      <c r="E51" s="28"/>
      <c r="F51" s="28"/>
      <c r="G51" s="28"/>
      <c r="H51" s="28"/>
      <c r="I51" s="28"/>
      <c r="J51" s="33"/>
      <c r="K51" s="28"/>
      <c r="L51" s="28"/>
      <c r="M51" s="28"/>
      <c r="N51" s="28"/>
      <c r="O51" s="28"/>
      <c r="P51" s="28"/>
      <c r="Q51" s="28"/>
      <c r="R51" s="28"/>
      <c r="S51" s="28"/>
    </row>
    <row r="52" spans="1:19" x14ac:dyDescent="0.25">
      <c r="A52" s="3">
        <v>48</v>
      </c>
      <c r="B52" s="29"/>
      <c r="C52" s="28"/>
      <c r="D52" s="28"/>
      <c r="E52" s="28"/>
      <c r="F52" s="28"/>
      <c r="G52" s="28"/>
      <c r="H52" s="28"/>
      <c r="I52" s="28"/>
      <c r="J52" s="33"/>
      <c r="K52" s="28"/>
      <c r="L52" s="28"/>
      <c r="M52" s="28"/>
      <c r="N52" s="28"/>
      <c r="O52" s="28"/>
      <c r="P52" s="28"/>
      <c r="Q52" s="28"/>
      <c r="R52" s="28"/>
      <c r="S52" s="28"/>
    </row>
    <row r="53" spans="1:19" x14ac:dyDescent="0.25">
      <c r="A53" s="3">
        <v>49</v>
      </c>
      <c r="B53" s="29"/>
      <c r="C53" s="28"/>
      <c r="D53" s="28"/>
      <c r="E53" s="28"/>
      <c r="F53" s="28"/>
      <c r="G53" s="28"/>
      <c r="H53" s="28"/>
      <c r="I53" s="28"/>
      <c r="J53" s="33"/>
      <c r="K53" s="28"/>
      <c r="L53" s="28"/>
      <c r="M53" s="28"/>
      <c r="N53" s="28"/>
      <c r="O53" s="28"/>
      <c r="P53" s="28"/>
      <c r="Q53" s="28"/>
      <c r="R53" s="28"/>
      <c r="S53" s="28"/>
    </row>
    <row r="54" spans="1:19" x14ac:dyDescent="0.25">
      <c r="A54" s="3">
        <v>50</v>
      </c>
      <c r="B54" s="29"/>
      <c r="C54" s="28"/>
      <c r="D54" s="28"/>
      <c r="E54" s="28"/>
      <c r="F54" s="28"/>
      <c r="G54" s="28"/>
      <c r="H54" s="28"/>
      <c r="I54" s="28"/>
      <c r="J54" s="33"/>
      <c r="K54" s="28"/>
      <c r="L54" s="28"/>
      <c r="M54" s="28"/>
      <c r="N54" s="28"/>
      <c r="O54" s="28"/>
      <c r="P54" s="28"/>
      <c r="Q54" s="28"/>
      <c r="R54" s="28"/>
      <c r="S54" s="28"/>
    </row>
    <row r="55" spans="1:19" x14ac:dyDescent="0.25">
      <c r="A55" s="3">
        <v>51</v>
      </c>
      <c r="B55" s="29"/>
      <c r="C55" s="28"/>
      <c r="D55" s="28"/>
      <c r="E55" s="28"/>
      <c r="F55" s="28"/>
      <c r="G55" s="28"/>
      <c r="H55" s="28"/>
      <c r="I55" s="28"/>
      <c r="J55" s="33"/>
      <c r="K55" s="28"/>
      <c r="L55" s="28"/>
      <c r="M55" s="28"/>
      <c r="N55" s="28"/>
      <c r="O55" s="28"/>
      <c r="P55" s="28"/>
      <c r="Q55" s="28"/>
      <c r="R55" s="28"/>
      <c r="S55" s="28"/>
    </row>
    <row r="56" spans="1:19" x14ac:dyDescent="0.25">
      <c r="A56" s="3">
        <v>52</v>
      </c>
      <c r="B56" s="29"/>
      <c r="C56" s="28"/>
      <c r="D56" s="28"/>
      <c r="E56" s="28"/>
      <c r="F56" s="28"/>
      <c r="G56" s="28"/>
      <c r="H56" s="28"/>
      <c r="I56" s="28"/>
      <c r="J56" s="33"/>
      <c r="K56" s="28"/>
      <c r="L56" s="28"/>
      <c r="M56" s="28"/>
      <c r="N56" s="28"/>
      <c r="O56" s="28"/>
      <c r="P56" s="28"/>
      <c r="Q56" s="28"/>
      <c r="R56" s="28"/>
      <c r="S56" s="28"/>
    </row>
    <row r="57" spans="1:19" x14ac:dyDescent="0.25">
      <c r="A57" s="3">
        <v>53</v>
      </c>
      <c r="B57" s="29"/>
      <c r="C57" s="28"/>
      <c r="D57" s="28"/>
      <c r="E57" s="28"/>
      <c r="F57" s="28"/>
      <c r="G57" s="28"/>
      <c r="H57" s="28"/>
      <c r="I57" s="28"/>
      <c r="J57" s="33"/>
      <c r="K57" s="28"/>
      <c r="L57" s="28"/>
      <c r="M57" s="28"/>
      <c r="N57" s="28"/>
      <c r="O57" s="28"/>
      <c r="P57" s="28"/>
      <c r="Q57" s="28"/>
      <c r="R57" s="28"/>
      <c r="S57" s="28"/>
    </row>
    <row r="58" spans="1:19" x14ac:dyDescent="0.25">
      <c r="A58" s="3">
        <v>54</v>
      </c>
      <c r="B58" s="29"/>
      <c r="C58" s="28"/>
      <c r="D58" s="28"/>
      <c r="E58" s="28"/>
      <c r="F58" s="28"/>
      <c r="G58" s="28"/>
      <c r="H58" s="28"/>
      <c r="I58" s="28"/>
      <c r="J58" s="33"/>
      <c r="K58" s="28"/>
      <c r="L58" s="28"/>
      <c r="M58" s="28"/>
      <c r="N58" s="28"/>
      <c r="O58" s="28"/>
      <c r="P58" s="28"/>
      <c r="Q58" s="28"/>
      <c r="R58" s="28"/>
      <c r="S58" s="28"/>
    </row>
    <row r="59" spans="1:19" x14ac:dyDescent="0.25">
      <c r="A59" s="3">
        <v>55</v>
      </c>
      <c r="B59" s="29"/>
      <c r="C59" s="28"/>
      <c r="D59" s="28"/>
      <c r="E59" s="28"/>
      <c r="F59" s="28"/>
      <c r="G59" s="28"/>
      <c r="H59" s="28"/>
      <c r="I59" s="28"/>
      <c r="J59" s="33"/>
      <c r="K59" s="28"/>
      <c r="L59" s="28"/>
      <c r="M59" s="28"/>
      <c r="N59" s="28"/>
      <c r="O59" s="28"/>
      <c r="P59" s="28"/>
      <c r="Q59" s="28"/>
      <c r="R59" s="28"/>
      <c r="S59" s="28"/>
    </row>
    <row r="60" spans="1:19" x14ac:dyDescent="0.25">
      <c r="A60" s="3">
        <v>56</v>
      </c>
      <c r="B60" s="29"/>
      <c r="C60" s="28"/>
      <c r="D60" s="28"/>
      <c r="E60" s="28"/>
      <c r="F60" s="28"/>
      <c r="G60" s="28"/>
      <c r="H60" s="28"/>
      <c r="I60" s="28"/>
      <c r="J60" s="33"/>
      <c r="K60" s="28"/>
      <c r="L60" s="28"/>
      <c r="M60" s="28"/>
      <c r="N60" s="28"/>
      <c r="O60" s="28"/>
      <c r="P60" s="28"/>
      <c r="Q60" s="28"/>
      <c r="R60" s="28"/>
      <c r="S60" s="28"/>
    </row>
    <row r="61" spans="1:19" x14ac:dyDescent="0.25">
      <c r="A61" s="3">
        <v>57</v>
      </c>
      <c r="B61" s="29"/>
      <c r="C61" s="28"/>
      <c r="D61" s="28"/>
      <c r="E61" s="28"/>
      <c r="F61" s="28"/>
      <c r="G61" s="28"/>
      <c r="H61" s="28"/>
      <c r="I61" s="28"/>
      <c r="J61" s="33"/>
      <c r="K61" s="28"/>
      <c r="L61" s="28"/>
      <c r="M61" s="28"/>
      <c r="N61" s="28"/>
      <c r="O61" s="28"/>
      <c r="P61" s="28"/>
      <c r="Q61" s="28"/>
      <c r="R61" s="28"/>
      <c r="S61" s="28"/>
    </row>
    <row r="62" spans="1:19" x14ac:dyDescent="0.25">
      <c r="A62" s="3">
        <v>58</v>
      </c>
      <c r="B62" s="29"/>
      <c r="C62" s="28"/>
      <c r="D62" s="28"/>
      <c r="E62" s="28"/>
      <c r="F62" s="28"/>
      <c r="G62" s="28"/>
      <c r="H62" s="28"/>
      <c r="I62" s="28"/>
      <c r="J62" s="33"/>
      <c r="K62" s="28"/>
      <c r="L62" s="28"/>
      <c r="M62" s="28"/>
      <c r="N62" s="28"/>
      <c r="O62" s="28"/>
      <c r="P62" s="28"/>
      <c r="Q62" s="28"/>
      <c r="R62" s="28"/>
      <c r="S62" s="28"/>
    </row>
    <row r="63" spans="1:19" x14ac:dyDescent="0.25">
      <c r="A63" s="3">
        <v>59</v>
      </c>
      <c r="B63" s="29"/>
      <c r="C63" s="28"/>
      <c r="D63" s="28"/>
      <c r="E63" s="28"/>
      <c r="F63" s="28"/>
      <c r="G63" s="28"/>
      <c r="H63" s="28"/>
      <c r="I63" s="28"/>
      <c r="J63" s="33"/>
      <c r="K63" s="28"/>
      <c r="L63" s="28"/>
      <c r="M63" s="28"/>
      <c r="N63" s="28"/>
      <c r="O63" s="28"/>
      <c r="P63" s="28"/>
      <c r="Q63" s="28"/>
      <c r="R63" s="28"/>
      <c r="S63" s="28"/>
    </row>
    <row r="64" spans="1:19" x14ac:dyDescent="0.25">
      <c r="A64" s="3">
        <v>60</v>
      </c>
      <c r="B64" s="29"/>
      <c r="C64" s="28"/>
      <c r="D64" s="28"/>
      <c r="E64" s="28"/>
      <c r="F64" s="28"/>
      <c r="G64" s="28"/>
      <c r="H64" s="28"/>
      <c r="I64" s="28"/>
      <c r="J64" s="33"/>
      <c r="K64" s="28"/>
      <c r="L64" s="28"/>
      <c r="M64" s="28"/>
      <c r="N64" s="28"/>
      <c r="O64" s="28"/>
      <c r="P64" s="28"/>
      <c r="Q64" s="28"/>
      <c r="R64" s="28"/>
      <c r="S64" s="28"/>
    </row>
    <row r="65" spans="1:19" x14ac:dyDescent="0.25">
      <c r="A65" s="3">
        <v>61</v>
      </c>
      <c r="B65" s="29"/>
      <c r="C65" s="28"/>
      <c r="D65" s="28"/>
      <c r="E65" s="28"/>
      <c r="F65" s="28"/>
      <c r="G65" s="28"/>
      <c r="H65" s="28"/>
      <c r="I65" s="28"/>
      <c r="J65" s="33"/>
      <c r="K65" s="28"/>
      <c r="L65" s="28"/>
      <c r="M65" s="28"/>
      <c r="N65" s="28"/>
      <c r="O65" s="28"/>
      <c r="P65" s="28"/>
      <c r="Q65" s="28"/>
      <c r="R65" s="28"/>
      <c r="S65" s="28"/>
    </row>
  </sheetData>
  <mergeCells count="58">
    <mergeCell ref="X41:X43"/>
    <mergeCell ref="AA41:AA43"/>
    <mergeCell ref="AD41:AD43"/>
    <mergeCell ref="AG34:AG36"/>
    <mergeCell ref="AK34:AK36"/>
    <mergeCell ref="AR34:AR36"/>
    <mergeCell ref="X38:X40"/>
    <mergeCell ref="AA38:AA40"/>
    <mergeCell ref="AD38:AD40"/>
    <mergeCell ref="X31:X33"/>
    <mergeCell ref="AA31:AA33"/>
    <mergeCell ref="AD31:AD33"/>
    <mergeCell ref="X34:X36"/>
    <mergeCell ref="AA34:AA36"/>
    <mergeCell ref="AD34:AD36"/>
    <mergeCell ref="X25:X27"/>
    <mergeCell ref="AA25:AA27"/>
    <mergeCell ref="AD25:AD27"/>
    <mergeCell ref="X28:X30"/>
    <mergeCell ref="AA28:AA30"/>
    <mergeCell ref="AD28:AD30"/>
    <mergeCell ref="X19:X21"/>
    <mergeCell ref="AA19:AA21"/>
    <mergeCell ref="AD19:AD21"/>
    <mergeCell ref="X22:X24"/>
    <mergeCell ref="AA22:AA24"/>
    <mergeCell ref="AD22:AD24"/>
    <mergeCell ref="A1:S1"/>
    <mergeCell ref="U1:W1"/>
    <mergeCell ref="A2:S2"/>
    <mergeCell ref="U2:V2"/>
    <mergeCell ref="A3:A4"/>
    <mergeCell ref="B3:B4"/>
    <mergeCell ref="C3:C4"/>
    <mergeCell ref="D3:I3"/>
    <mergeCell ref="J3:J4"/>
    <mergeCell ref="K3:K4"/>
    <mergeCell ref="U6:U12"/>
    <mergeCell ref="L3:L4"/>
    <mergeCell ref="M3:M4"/>
    <mergeCell ref="N3:N4"/>
    <mergeCell ref="O3:O4"/>
    <mergeCell ref="P3:P4"/>
    <mergeCell ref="Q3:Q4"/>
    <mergeCell ref="R3:R4"/>
    <mergeCell ref="S3:S4"/>
    <mergeCell ref="U3:V3"/>
    <mergeCell ref="U4:V4"/>
    <mergeCell ref="U5:V5"/>
    <mergeCell ref="U34:U37"/>
    <mergeCell ref="U38:U40"/>
    <mergeCell ref="U41:U43"/>
    <mergeCell ref="U13:U18"/>
    <mergeCell ref="U19:U21"/>
    <mergeCell ref="U22:U24"/>
    <mergeCell ref="U25:U27"/>
    <mergeCell ref="U28:U30"/>
    <mergeCell ref="U31:U33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41"/>
  <sheetViews>
    <sheetView topLeftCell="V1" zoomScale="50" zoomScaleNormal="50" workbookViewId="0">
      <selection activeCell="AX31" sqref="AT31:AX33"/>
    </sheetView>
  </sheetViews>
  <sheetFormatPr baseColWidth="10" defaultRowHeight="15" x14ac:dyDescent="0.25"/>
  <cols>
    <col min="1" max="1" width="4.140625" style="1" bestFit="1" customWidth="1"/>
    <col min="2" max="2" width="17.42578125" customWidth="1"/>
    <col min="4" max="4" width="9.7109375" bestFit="1" customWidth="1"/>
    <col min="5" max="5" width="10.140625" bestFit="1" customWidth="1"/>
    <col min="6" max="6" width="9.7109375" bestFit="1" customWidth="1"/>
    <col min="7" max="7" width="10.140625" bestFit="1" customWidth="1"/>
    <col min="8" max="8" width="9.7109375" bestFit="1" customWidth="1"/>
    <col min="9" max="9" width="19.42578125" bestFit="1" customWidth="1"/>
    <col min="10" max="10" width="20.140625" bestFit="1" customWidth="1"/>
    <col min="11" max="11" width="16.85546875" customWidth="1"/>
    <col min="12" max="19" width="14.28515625" customWidth="1"/>
    <col min="21" max="21" width="48.42578125" style="7" customWidth="1"/>
    <col min="22" max="22" width="20.85546875" bestFit="1" customWidth="1"/>
    <col min="23" max="23" width="11.42578125" style="1"/>
  </cols>
  <sheetData>
    <row r="1" spans="1:50" ht="15.75" thickBot="1" x14ac:dyDescent="0.3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U1" s="144" t="s">
        <v>46</v>
      </c>
      <c r="V1" s="145"/>
      <c r="W1" s="148"/>
    </row>
    <row r="2" spans="1:50" ht="15.75" thickBot="1" x14ac:dyDescent="0.3">
      <c r="A2" s="123" t="s">
        <v>21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U2" s="144" t="s">
        <v>44</v>
      </c>
      <c r="V2" s="145"/>
      <c r="W2" s="17">
        <f>+COUNTIF(C5:C39,"M")</f>
        <v>16</v>
      </c>
    </row>
    <row r="3" spans="1:50" ht="15.75" customHeight="1" thickBot="1" x14ac:dyDescent="0.3">
      <c r="A3" s="149" t="s">
        <v>22</v>
      </c>
      <c r="B3" s="151" t="s">
        <v>2</v>
      </c>
      <c r="C3" s="149" t="s">
        <v>1</v>
      </c>
      <c r="D3" s="123" t="s">
        <v>3</v>
      </c>
      <c r="E3" s="123"/>
      <c r="F3" s="123"/>
      <c r="G3" s="123"/>
      <c r="H3" s="123"/>
      <c r="I3" s="123"/>
      <c r="J3" s="149" t="s">
        <v>11</v>
      </c>
      <c r="K3" s="149" t="s">
        <v>10</v>
      </c>
      <c r="L3" s="142" t="s">
        <v>12</v>
      </c>
      <c r="M3" s="142" t="s">
        <v>13</v>
      </c>
      <c r="N3" s="142" t="s">
        <v>14</v>
      </c>
      <c r="O3" s="142" t="s">
        <v>15</v>
      </c>
      <c r="P3" s="142" t="s">
        <v>16</v>
      </c>
      <c r="Q3" s="142" t="s">
        <v>17</v>
      </c>
      <c r="R3" s="142" t="s">
        <v>18</v>
      </c>
      <c r="S3" s="142" t="s">
        <v>19</v>
      </c>
      <c r="U3" s="144" t="s">
        <v>45</v>
      </c>
      <c r="V3" s="145"/>
      <c r="W3" s="17">
        <f>+COUNTIF(C5:C39,"F")</f>
        <v>19</v>
      </c>
    </row>
    <row r="4" spans="1:50" ht="15.75" customHeight="1" thickBot="1" x14ac:dyDescent="0.3">
      <c r="A4" s="150"/>
      <c r="B4" s="152"/>
      <c r="C4" s="150"/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150"/>
      <c r="K4" s="150"/>
      <c r="L4" s="143"/>
      <c r="M4" s="143"/>
      <c r="N4" s="143"/>
      <c r="O4" s="143"/>
      <c r="P4" s="143"/>
      <c r="Q4" s="143"/>
      <c r="R4" s="143"/>
      <c r="S4" s="143"/>
      <c r="U4" s="146" t="s">
        <v>29</v>
      </c>
      <c r="V4" s="147"/>
      <c r="W4" s="17">
        <f>+COUNTIF(C5:C39,"Blanco")</f>
        <v>0</v>
      </c>
    </row>
    <row r="5" spans="1:50" ht="15.75" thickBot="1" x14ac:dyDescent="0.3">
      <c r="A5" s="3">
        <v>1</v>
      </c>
      <c r="B5" s="5">
        <v>42927</v>
      </c>
      <c r="C5" s="6" t="s">
        <v>23</v>
      </c>
      <c r="D5" s="6">
        <v>1</v>
      </c>
      <c r="E5" s="6"/>
      <c r="F5" s="6"/>
      <c r="G5" s="6"/>
      <c r="H5" s="6"/>
      <c r="I5" s="6"/>
      <c r="J5" s="6" t="s">
        <v>49</v>
      </c>
      <c r="K5" s="6" t="s">
        <v>24</v>
      </c>
      <c r="L5" s="6" t="s">
        <v>20</v>
      </c>
      <c r="M5" s="6" t="s">
        <v>20</v>
      </c>
      <c r="N5" s="6" t="s">
        <v>25</v>
      </c>
      <c r="O5" s="6" t="s">
        <v>25</v>
      </c>
      <c r="P5" s="6" t="s">
        <v>25</v>
      </c>
      <c r="Q5" s="6" t="s">
        <v>26</v>
      </c>
      <c r="R5" s="6" t="s">
        <v>20</v>
      </c>
      <c r="S5" s="6" t="s">
        <v>20</v>
      </c>
      <c r="U5" s="146" t="s">
        <v>47</v>
      </c>
      <c r="V5" s="147"/>
      <c r="W5" s="18">
        <f>SUM(W2:W3)</f>
        <v>35</v>
      </c>
    </row>
    <row r="6" spans="1:50" x14ac:dyDescent="0.25">
      <c r="A6" s="3">
        <v>2</v>
      </c>
      <c r="B6" s="5">
        <v>42927</v>
      </c>
      <c r="C6" s="6" t="s">
        <v>23</v>
      </c>
      <c r="D6" s="6">
        <v>1</v>
      </c>
      <c r="E6" s="6"/>
      <c r="F6" s="6"/>
      <c r="G6" s="6"/>
      <c r="H6" s="6"/>
      <c r="I6" s="6"/>
      <c r="J6" s="6" t="s">
        <v>49</v>
      </c>
      <c r="K6" s="6" t="s">
        <v>24</v>
      </c>
      <c r="L6" s="6" t="s">
        <v>25</v>
      </c>
      <c r="M6" s="6" t="s">
        <v>25</v>
      </c>
      <c r="N6" s="6" t="s">
        <v>25</v>
      </c>
      <c r="O6" s="6" t="s">
        <v>25</v>
      </c>
      <c r="P6" s="6" t="s">
        <v>25</v>
      </c>
      <c r="Q6" s="6" t="s">
        <v>26</v>
      </c>
      <c r="R6" s="6" t="s">
        <v>20</v>
      </c>
      <c r="S6" s="6" t="s">
        <v>20</v>
      </c>
      <c r="U6" s="140" t="s">
        <v>3</v>
      </c>
      <c r="V6" s="11" t="s">
        <v>4</v>
      </c>
      <c r="W6" s="14">
        <f>+COUNTIF(D4:D39,"1")</f>
        <v>9</v>
      </c>
    </row>
    <row r="7" spans="1:50" x14ac:dyDescent="0.25">
      <c r="A7" s="3">
        <v>3</v>
      </c>
      <c r="B7" s="5">
        <v>42927</v>
      </c>
      <c r="C7" s="6" t="s">
        <v>23</v>
      </c>
      <c r="D7" s="6"/>
      <c r="E7" s="6"/>
      <c r="F7" s="6"/>
      <c r="G7" s="6">
        <v>1</v>
      </c>
      <c r="H7" s="6"/>
      <c r="I7" s="6"/>
      <c r="J7" s="6" t="s">
        <v>49</v>
      </c>
      <c r="K7" s="6" t="s">
        <v>24</v>
      </c>
      <c r="L7" s="6" t="s">
        <v>20</v>
      </c>
      <c r="M7" s="6" t="s">
        <v>20</v>
      </c>
      <c r="N7" s="6" t="s">
        <v>25</v>
      </c>
      <c r="O7" s="6" t="s">
        <v>25</v>
      </c>
      <c r="P7" s="6" t="s">
        <v>25</v>
      </c>
      <c r="Q7" s="6" t="s">
        <v>27</v>
      </c>
      <c r="R7" s="6" t="s">
        <v>20</v>
      </c>
      <c r="S7" s="6" t="s">
        <v>20</v>
      </c>
      <c r="U7" s="141"/>
      <c r="V7" s="8" t="s">
        <v>5</v>
      </c>
      <c r="W7" s="15">
        <f>+COUNTIF(E5:E39,"1")</f>
        <v>8</v>
      </c>
    </row>
    <row r="8" spans="1:50" x14ac:dyDescent="0.25">
      <c r="A8" s="3">
        <v>4</v>
      </c>
      <c r="B8" s="5">
        <v>42927</v>
      </c>
      <c r="C8" s="6" t="s">
        <v>23</v>
      </c>
      <c r="D8" s="6"/>
      <c r="E8" s="6">
        <v>1</v>
      </c>
      <c r="F8" s="6"/>
      <c r="G8" s="6"/>
      <c r="H8" s="6"/>
      <c r="I8" s="6"/>
      <c r="J8" s="6" t="s">
        <v>49</v>
      </c>
      <c r="K8" s="6" t="s">
        <v>24</v>
      </c>
      <c r="L8" s="6" t="s">
        <v>20</v>
      </c>
      <c r="M8" s="6" t="s">
        <v>20</v>
      </c>
      <c r="N8" s="6" t="s">
        <v>20</v>
      </c>
      <c r="O8" s="6" t="s">
        <v>25</v>
      </c>
      <c r="P8" s="6" t="s">
        <v>20</v>
      </c>
      <c r="Q8" s="6" t="s">
        <v>28</v>
      </c>
      <c r="R8" s="6" t="s">
        <v>25</v>
      </c>
      <c r="S8" s="6" t="s">
        <v>20</v>
      </c>
      <c r="U8" s="141"/>
      <c r="V8" s="8" t="s">
        <v>6</v>
      </c>
      <c r="W8" s="15">
        <f>+COUNTIF(F5:F39,"1")</f>
        <v>6</v>
      </c>
    </row>
    <row r="9" spans="1:50" x14ac:dyDescent="0.25">
      <c r="A9" s="3">
        <v>5</v>
      </c>
      <c r="B9" s="5">
        <v>42927</v>
      </c>
      <c r="C9" s="6" t="s">
        <v>23</v>
      </c>
      <c r="D9" s="6"/>
      <c r="E9" s="6"/>
      <c r="F9" s="6">
        <v>1</v>
      </c>
      <c r="G9" s="6"/>
      <c r="H9" s="6"/>
      <c r="I9" s="6"/>
      <c r="J9" s="6" t="s">
        <v>49</v>
      </c>
      <c r="K9" s="6" t="s">
        <v>24</v>
      </c>
      <c r="L9" s="6" t="s">
        <v>20</v>
      </c>
      <c r="M9" s="6" t="s">
        <v>20</v>
      </c>
      <c r="N9" s="6" t="s">
        <v>25</v>
      </c>
      <c r="O9" s="6" t="s">
        <v>29</v>
      </c>
      <c r="P9" s="6" t="s">
        <v>25</v>
      </c>
      <c r="Q9" s="6" t="s">
        <v>27</v>
      </c>
      <c r="R9" s="6" t="s">
        <v>25</v>
      </c>
      <c r="S9" s="6" t="s">
        <v>25</v>
      </c>
      <c r="U9" s="141"/>
      <c r="V9" s="8" t="s">
        <v>7</v>
      </c>
      <c r="W9" s="15">
        <f>+COUNTIF(G5:G39,"1")</f>
        <v>3</v>
      </c>
    </row>
    <row r="10" spans="1:50" x14ac:dyDescent="0.25">
      <c r="A10" s="3">
        <v>6</v>
      </c>
      <c r="B10" s="5">
        <v>42927</v>
      </c>
      <c r="C10" s="6" t="s">
        <v>30</v>
      </c>
      <c r="D10" s="6"/>
      <c r="E10" s="6"/>
      <c r="F10" s="6"/>
      <c r="G10" s="6"/>
      <c r="H10" s="6"/>
      <c r="I10" s="6">
        <v>1</v>
      </c>
      <c r="J10" s="6" t="s">
        <v>49</v>
      </c>
      <c r="K10" s="6" t="s">
        <v>24</v>
      </c>
      <c r="L10" s="6" t="s">
        <v>25</v>
      </c>
      <c r="M10" s="6" t="s">
        <v>20</v>
      </c>
      <c r="N10" s="6" t="s">
        <v>25</v>
      </c>
      <c r="O10" s="6" t="s">
        <v>25</v>
      </c>
      <c r="P10" s="6" t="s">
        <v>25</v>
      </c>
      <c r="Q10" s="6" t="s">
        <v>27</v>
      </c>
      <c r="R10" s="6" t="s">
        <v>25</v>
      </c>
      <c r="S10" s="6" t="s">
        <v>20</v>
      </c>
      <c r="U10" s="141"/>
      <c r="V10" s="8" t="s">
        <v>8</v>
      </c>
      <c r="W10" s="15">
        <f>+COUNTIF(H5:H39,"1")</f>
        <v>0</v>
      </c>
    </row>
    <row r="11" spans="1:50" x14ac:dyDescent="0.25">
      <c r="A11" s="3">
        <v>7</v>
      </c>
      <c r="B11" s="5">
        <v>42927</v>
      </c>
      <c r="C11" s="6" t="s">
        <v>23</v>
      </c>
      <c r="D11" s="6"/>
      <c r="E11" s="6"/>
      <c r="F11" s="6"/>
      <c r="G11" s="6"/>
      <c r="H11" s="6"/>
      <c r="I11" s="6">
        <v>1</v>
      </c>
      <c r="J11" s="6" t="s">
        <v>49</v>
      </c>
      <c r="K11" s="6" t="s">
        <v>24</v>
      </c>
      <c r="L11" s="6" t="s">
        <v>20</v>
      </c>
      <c r="M11" s="6" t="s">
        <v>20</v>
      </c>
      <c r="N11" s="6" t="s">
        <v>25</v>
      </c>
      <c r="O11" s="6" t="s">
        <v>25</v>
      </c>
      <c r="P11" s="6" t="s">
        <v>25</v>
      </c>
      <c r="Q11" s="6" t="s">
        <v>27</v>
      </c>
      <c r="R11" s="6" t="s">
        <v>25</v>
      </c>
      <c r="S11" s="6" t="s">
        <v>25</v>
      </c>
      <c r="U11" s="141"/>
      <c r="V11" s="8" t="s">
        <v>9</v>
      </c>
      <c r="W11" s="15">
        <f>+COUNTIF(I5:I39,"1")</f>
        <v>9</v>
      </c>
    </row>
    <row r="12" spans="1:50" ht="15.75" thickBot="1" x14ac:dyDescent="0.3">
      <c r="A12" s="3">
        <v>8</v>
      </c>
      <c r="B12" s="5">
        <v>42927</v>
      </c>
      <c r="C12" s="6" t="s">
        <v>23</v>
      </c>
      <c r="D12" s="6"/>
      <c r="E12" s="6"/>
      <c r="F12" s="6">
        <v>1</v>
      </c>
      <c r="G12" s="6"/>
      <c r="H12" s="6"/>
      <c r="I12" s="6"/>
      <c r="J12" s="6" t="s">
        <v>49</v>
      </c>
      <c r="K12" s="6" t="s">
        <v>24</v>
      </c>
      <c r="L12" s="6" t="s">
        <v>20</v>
      </c>
      <c r="M12" s="6" t="s">
        <v>20</v>
      </c>
      <c r="N12" s="6" t="s">
        <v>20</v>
      </c>
      <c r="O12" s="6" t="s">
        <v>20</v>
      </c>
      <c r="P12" s="6" t="s">
        <v>20</v>
      </c>
      <c r="Q12" s="6" t="s">
        <v>26</v>
      </c>
      <c r="R12" s="6" t="s">
        <v>25</v>
      </c>
      <c r="S12" s="6" t="s">
        <v>20</v>
      </c>
      <c r="U12" s="155"/>
      <c r="V12" s="26" t="s">
        <v>29</v>
      </c>
      <c r="W12" s="15">
        <f>+COUNTIF(I5:I39,"Blanco")</f>
        <v>0</v>
      </c>
    </row>
    <row r="13" spans="1:50" x14ac:dyDescent="0.25">
      <c r="A13" s="3">
        <v>9</v>
      </c>
      <c r="B13" s="5">
        <v>42927</v>
      </c>
      <c r="C13" s="6" t="s">
        <v>23</v>
      </c>
      <c r="D13" s="6">
        <v>1</v>
      </c>
      <c r="E13" s="6"/>
      <c r="F13" s="6"/>
      <c r="G13" s="6"/>
      <c r="H13" s="6"/>
      <c r="I13" s="6"/>
      <c r="J13" s="6" t="s">
        <v>49</v>
      </c>
      <c r="K13" s="6" t="s">
        <v>24</v>
      </c>
      <c r="L13" s="6" t="s">
        <v>20</v>
      </c>
      <c r="M13" s="6" t="s">
        <v>20</v>
      </c>
      <c r="N13" s="6" t="s">
        <v>20</v>
      </c>
      <c r="O13" s="6" t="s">
        <v>20</v>
      </c>
      <c r="P13" s="6" t="s">
        <v>20</v>
      </c>
      <c r="Q13" s="6" t="s">
        <v>27</v>
      </c>
      <c r="R13" s="6" t="s">
        <v>20</v>
      </c>
      <c r="S13" s="6" t="s">
        <v>20</v>
      </c>
      <c r="U13" s="139" t="s">
        <v>35</v>
      </c>
      <c r="V13" s="10" t="s">
        <v>24</v>
      </c>
      <c r="W13" s="25">
        <f>+COUNTIF(K5:K39,"La Esperanza")</f>
        <v>15</v>
      </c>
    </row>
    <row r="14" spans="1:50" x14ac:dyDescent="0.25">
      <c r="A14" s="3">
        <v>10</v>
      </c>
      <c r="B14" s="5">
        <v>42927</v>
      </c>
      <c r="C14" s="6" t="s">
        <v>30</v>
      </c>
      <c r="D14" s="6"/>
      <c r="E14" s="6">
        <v>1</v>
      </c>
      <c r="F14" s="6"/>
      <c r="G14" s="6"/>
      <c r="H14" s="6"/>
      <c r="I14" s="6"/>
      <c r="J14" s="6" t="s">
        <v>49</v>
      </c>
      <c r="K14" s="6" t="s">
        <v>24</v>
      </c>
      <c r="L14" s="6" t="s">
        <v>20</v>
      </c>
      <c r="M14" s="6" t="s">
        <v>20</v>
      </c>
      <c r="N14" s="6" t="s">
        <v>20</v>
      </c>
      <c r="O14" s="6" t="s">
        <v>20</v>
      </c>
      <c r="P14" s="6" t="s">
        <v>20</v>
      </c>
      <c r="Q14" s="6" t="s">
        <v>27</v>
      </c>
      <c r="R14" s="6" t="s">
        <v>20</v>
      </c>
      <c r="S14" s="6" t="s">
        <v>20</v>
      </c>
      <c r="U14" s="109"/>
      <c r="V14" s="9" t="s">
        <v>32</v>
      </c>
      <c r="W14" s="15">
        <f>+COUNTIF(K5:K39,"Yamaranguila")</f>
        <v>10</v>
      </c>
    </row>
    <row r="15" spans="1:50" ht="15.75" thickBot="1" x14ac:dyDescent="0.3">
      <c r="A15" s="3">
        <v>11</v>
      </c>
      <c r="B15" s="5">
        <v>42927</v>
      </c>
      <c r="C15" s="6" t="s">
        <v>30</v>
      </c>
      <c r="D15" s="6">
        <v>1</v>
      </c>
      <c r="E15" s="6"/>
      <c r="F15" s="6"/>
      <c r="G15" s="6"/>
      <c r="H15" s="6"/>
      <c r="I15" s="6"/>
      <c r="J15" s="6" t="s">
        <v>49</v>
      </c>
      <c r="K15" s="6" t="s">
        <v>24</v>
      </c>
      <c r="L15" s="6" t="s">
        <v>20</v>
      </c>
      <c r="M15" s="6" t="s">
        <v>20</v>
      </c>
      <c r="N15" s="6" t="s">
        <v>20</v>
      </c>
      <c r="O15" s="6" t="s">
        <v>20</v>
      </c>
      <c r="P15" s="6" t="s">
        <v>20</v>
      </c>
      <c r="Q15" s="6" t="s">
        <v>27</v>
      </c>
      <c r="R15" s="6" t="s">
        <v>20</v>
      </c>
      <c r="S15" s="6" t="s">
        <v>20</v>
      </c>
      <c r="U15" s="110"/>
      <c r="V15" s="13" t="s">
        <v>33</v>
      </c>
      <c r="W15" s="16">
        <f>+COUNTIF(K5:K39,"Jesus de Otoro")</f>
        <v>10</v>
      </c>
    </row>
    <row r="16" spans="1:50" ht="15" customHeight="1" x14ac:dyDescent="0.25">
      <c r="A16" s="3">
        <v>12</v>
      </c>
      <c r="B16" s="5">
        <v>42927</v>
      </c>
      <c r="C16" s="6" t="s">
        <v>30</v>
      </c>
      <c r="D16" s="6"/>
      <c r="E16" s="6"/>
      <c r="F16" s="6"/>
      <c r="G16" s="6"/>
      <c r="H16" s="6"/>
      <c r="I16" s="6">
        <v>1</v>
      </c>
      <c r="J16" s="6" t="s">
        <v>49</v>
      </c>
      <c r="K16" s="6" t="s">
        <v>24</v>
      </c>
      <c r="L16" s="6" t="s">
        <v>20</v>
      </c>
      <c r="M16" s="6" t="s">
        <v>20</v>
      </c>
      <c r="N16" s="6" t="s">
        <v>20</v>
      </c>
      <c r="O16" s="6" t="s">
        <v>20</v>
      </c>
      <c r="P16" s="6" t="s">
        <v>20</v>
      </c>
      <c r="Q16" s="6" t="s">
        <v>27</v>
      </c>
      <c r="R16" s="6" t="s">
        <v>20</v>
      </c>
      <c r="S16" s="6" t="s">
        <v>20</v>
      </c>
      <c r="U16" s="137" t="s">
        <v>36</v>
      </c>
      <c r="V16" s="12" t="s">
        <v>20</v>
      </c>
      <c r="W16" s="14">
        <f>+COUNTIF(L5:L39,"Si")</f>
        <v>23</v>
      </c>
      <c r="X16" s="125" t="s">
        <v>118</v>
      </c>
      <c r="Y16" s="48" t="s">
        <v>114</v>
      </c>
      <c r="Z16" s="49">
        <f>COUNTIFS($C$5:$C$65,"M",$L$5:$L$65,"Si")</f>
        <v>10</v>
      </c>
      <c r="AA16" s="125" t="s">
        <v>117</v>
      </c>
      <c r="AB16" s="48" t="s">
        <v>114</v>
      </c>
      <c r="AC16" s="55">
        <f>COUNTIFS($C$5:$C$65,"M",$L$5:$L$65,"No")</f>
        <v>6</v>
      </c>
      <c r="AD16" s="125" t="s">
        <v>118</v>
      </c>
      <c r="AE16" s="48" t="s">
        <v>4</v>
      </c>
      <c r="AF16" s="48">
        <f>COUNTIFS($D$5:$D$65,"1",$L$5:$L$65,"Si")</f>
        <v>7</v>
      </c>
      <c r="AG16" s="48" t="s">
        <v>7</v>
      </c>
      <c r="AH16" s="48">
        <f>COUNTIFS($G$5:$G$65,"1",$L$5:$L$65,"Si")</f>
        <v>2</v>
      </c>
      <c r="AI16" s="48" t="s">
        <v>29</v>
      </c>
      <c r="AJ16" s="49">
        <f>COUNTIFS($I$5:$I$65,"Blanco",$L$5:$L$65,"Si")</f>
        <v>0</v>
      </c>
      <c r="AK16" s="50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x14ac:dyDescent="0.25">
      <c r="A17" s="3">
        <v>13</v>
      </c>
      <c r="B17" s="5">
        <v>42927</v>
      </c>
      <c r="C17" s="6" t="s">
        <v>30</v>
      </c>
      <c r="D17" s="6">
        <v>1</v>
      </c>
      <c r="E17" s="6"/>
      <c r="F17" s="6"/>
      <c r="G17" s="6"/>
      <c r="H17" s="6"/>
      <c r="I17" s="6"/>
      <c r="J17" s="6" t="s">
        <v>49</v>
      </c>
      <c r="K17" s="6" t="s">
        <v>24</v>
      </c>
      <c r="L17" s="6" t="s">
        <v>20</v>
      </c>
      <c r="M17" s="6" t="s">
        <v>20</v>
      </c>
      <c r="N17" s="6" t="s">
        <v>20</v>
      </c>
      <c r="O17" s="6" t="s">
        <v>25</v>
      </c>
      <c r="P17" s="6" t="s">
        <v>20</v>
      </c>
      <c r="Q17" s="6" t="s">
        <v>28</v>
      </c>
      <c r="R17" s="6" t="s">
        <v>25</v>
      </c>
      <c r="S17" s="6" t="s">
        <v>20</v>
      </c>
      <c r="U17" s="109"/>
      <c r="V17" s="9" t="s">
        <v>25</v>
      </c>
      <c r="W17" s="15">
        <f>+COUNTIF(L5:L39,"No")</f>
        <v>11</v>
      </c>
      <c r="X17" s="126"/>
      <c r="Y17" s="6" t="s">
        <v>115</v>
      </c>
      <c r="Z17" s="51">
        <f>COUNTIFS($C$5:$C$65,"F",$L$5:$L$65,"Si")</f>
        <v>13</v>
      </c>
      <c r="AA17" s="126"/>
      <c r="AB17" s="6" t="s">
        <v>115</v>
      </c>
      <c r="AC17" s="57">
        <f>COUNTIFS($C$5:$C$65,"F",$L$5:$L$65,"No")</f>
        <v>5</v>
      </c>
      <c r="AD17" s="126"/>
      <c r="AE17" s="6" t="s">
        <v>5</v>
      </c>
      <c r="AF17" s="6">
        <f>COUNTIFS($E$5:$E$65,"1",$L$5:$L$65,"Si")</f>
        <v>5</v>
      </c>
      <c r="AG17" s="39" t="s">
        <v>8</v>
      </c>
      <c r="AH17" s="6">
        <f>COUNTIFS($H$5:$H$65,"1",$L$5:$L$65,"Si")</f>
        <v>0</v>
      </c>
      <c r="AI17" s="6"/>
      <c r="AJ17" s="51"/>
      <c r="AK17" s="50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5.75" thickBot="1" x14ac:dyDescent="0.3">
      <c r="A18" s="3">
        <v>14</v>
      </c>
      <c r="B18" s="5">
        <v>42927</v>
      </c>
      <c r="C18" s="6" t="s">
        <v>30</v>
      </c>
      <c r="D18" s="6">
        <v>1</v>
      </c>
      <c r="E18" s="6"/>
      <c r="F18" s="6"/>
      <c r="G18" s="6"/>
      <c r="H18" s="6"/>
      <c r="I18" s="6"/>
      <c r="J18" s="6" t="s">
        <v>49</v>
      </c>
      <c r="K18" s="6" t="s">
        <v>24</v>
      </c>
      <c r="L18" s="6" t="s">
        <v>20</v>
      </c>
      <c r="M18" s="6" t="s">
        <v>20</v>
      </c>
      <c r="N18" s="6" t="s">
        <v>20</v>
      </c>
      <c r="O18" s="6" t="s">
        <v>20</v>
      </c>
      <c r="P18" s="6" t="s">
        <v>25</v>
      </c>
      <c r="Q18" s="6" t="s">
        <v>27</v>
      </c>
      <c r="R18" s="6" t="s">
        <v>25</v>
      </c>
      <c r="S18" s="6" t="s">
        <v>25</v>
      </c>
      <c r="U18" s="110"/>
      <c r="V18" s="13" t="s">
        <v>29</v>
      </c>
      <c r="W18" s="16">
        <f>+COUNTIF(L5:L39,"Blanco")</f>
        <v>1</v>
      </c>
      <c r="X18" s="127"/>
      <c r="Y18" s="26" t="s">
        <v>29</v>
      </c>
      <c r="Z18" s="52">
        <f>COUNTIFS($C$5:$C$65,"Blanco",$L$5:$L$65,"Si")</f>
        <v>0</v>
      </c>
      <c r="AA18" s="127"/>
      <c r="AB18" s="26" t="s">
        <v>29</v>
      </c>
      <c r="AC18" s="58">
        <f>COUNTIFS($C$5:$C$65,"Blanco",$L$5:$L$65,"No")</f>
        <v>0</v>
      </c>
      <c r="AD18" s="127"/>
      <c r="AE18" s="26" t="s">
        <v>6</v>
      </c>
      <c r="AF18" s="26">
        <f>COUNTIFS($F$5:$F$65,"1",$L$5:$L$65,"Si")</f>
        <v>3</v>
      </c>
      <c r="AG18" s="26" t="s">
        <v>9</v>
      </c>
      <c r="AH18" s="26">
        <f>COUNTIFS($I$5:$I$65,"1",$L$5:$L$65,"Si")</f>
        <v>6</v>
      </c>
      <c r="AI18" s="26"/>
      <c r="AJ18" s="52"/>
      <c r="AK18" s="50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x14ac:dyDescent="0.25">
      <c r="A19" s="3">
        <v>15</v>
      </c>
      <c r="B19" s="5">
        <v>42927</v>
      </c>
      <c r="C19" s="6" t="s">
        <v>23</v>
      </c>
      <c r="D19" s="6"/>
      <c r="E19" s="6"/>
      <c r="F19" s="6">
        <v>1</v>
      </c>
      <c r="G19" s="6"/>
      <c r="H19" s="6"/>
      <c r="I19" s="6"/>
      <c r="J19" s="6" t="s">
        <v>49</v>
      </c>
      <c r="K19" s="6" t="s">
        <v>24</v>
      </c>
      <c r="L19" s="6" t="s">
        <v>25</v>
      </c>
      <c r="M19" s="6" t="s">
        <v>25</v>
      </c>
      <c r="N19" s="6" t="s">
        <v>20</v>
      </c>
      <c r="O19" s="6" t="s">
        <v>25</v>
      </c>
      <c r="P19" s="6" t="s">
        <v>25</v>
      </c>
      <c r="Q19" s="6" t="s">
        <v>26</v>
      </c>
      <c r="R19" s="6" t="s">
        <v>25</v>
      </c>
      <c r="S19" s="6" t="s">
        <v>25</v>
      </c>
      <c r="U19" s="137" t="s">
        <v>37</v>
      </c>
      <c r="V19" s="12" t="s">
        <v>20</v>
      </c>
      <c r="W19" s="14">
        <f>+COUNTIF(M5:M39,"Si")</f>
        <v>27</v>
      </c>
      <c r="X19" s="125" t="s">
        <v>118</v>
      </c>
      <c r="Y19" s="48" t="s">
        <v>114</v>
      </c>
      <c r="Z19" s="49">
        <f>COUNTIFS($C$5:$C$65,"M",$M$5:$M$65,"Si")</f>
        <v>13</v>
      </c>
      <c r="AA19" s="125" t="s">
        <v>117</v>
      </c>
      <c r="AB19" s="48" t="s">
        <v>114</v>
      </c>
      <c r="AC19" s="55">
        <f>COUNTIFS($C$5:$C$65,"M",$M$5:$M$65,"No")</f>
        <v>3</v>
      </c>
      <c r="AD19" s="132" t="s">
        <v>118</v>
      </c>
      <c r="AE19" s="61" t="s">
        <v>4</v>
      </c>
      <c r="AF19" s="48">
        <f>COUNTIFS($D$5:$D$65,"1",$M$5:$M$65,"Si")</f>
        <v>8</v>
      </c>
      <c r="AG19" s="61" t="s">
        <v>7</v>
      </c>
      <c r="AH19" s="48">
        <f>COUNTIFS($G$5:$G$65,"1",$M$5:$M$65,"Si")</f>
        <v>3</v>
      </c>
      <c r="AI19" s="61" t="s">
        <v>29</v>
      </c>
      <c r="AJ19" s="49">
        <f>COUNTIFS($I$5:$I$65,"Blanco",$M$5:$M$65,"Si")</f>
        <v>0</v>
      </c>
      <c r="AK19" s="50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x14ac:dyDescent="0.25">
      <c r="A20" s="3">
        <v>16</v>
      </c>
      <c r="B20" s="5">
        <v>42928</v>
      </c>
      <c r="C20" s="6" t="s">
        <v>23</v>
      </c>
      <c r="D20" s="6">
        <v>1</v>
      </c>
      <c r="E20" s="6"/>
      <c r="F20" s="6"/>
      <c r="G20" s="6"/>
      <c r="H20" s="6"/>
      <c r="I20" s="6"/>
      <c r="J20" s="6" t="s">
        <v>49</v>
      </c>
      <c r="K20" s="6" t="s">
        <v>32</v>
      </c>
      <c r="L20" s="6" t="s">
        <v>25</v>
      </c>
      <c r="M20" s="6" t="s">
        <v>20</v>
      </c>
      <c r="N20" s="6" t="s">
        <v>25</v>
      </c>
      <c r="O20" s="6" t="s">
        <v>25</v>
      </c>
      <c r="P20" s="6" t="s">
        <v>25</v>
      </c>
      <c r="Q20" s="6" t="s">
        <v>28</v>
      </c>
      <c r="R20" s="6" t="s">
        <v>25</v>
      </c>
      <c r="S20" s="6" t="s">
        <v>25</v>
      </c>
      <c r="U20" s="109"/>
      <c r="V20" s="9" t="s">
        <v>25</v>
      </c>
      <c r="W20" s="15">
        <f>+COUNTIF(M5:M39,"No")</f>
        <v>8</v>
      </c>
      <c r="X20" s="126"/>
      <c r="Y20" s="6" t="s">
        <v>115</v>
      </c>
      <c r="Z20" s="51">
        <f>COUNTIFS($C$5:$C$65,"F",$M$5:$M$65,"Si")</f>
        <v>14</v>
      </c>
      <c r="AA20" s="126"/>
      <c r="AB20" s="6" t="s">
        <v>115</v>
      </c>
      <c r="AC20" s="57">
        <f>COUNTIFS($C$5:$C$65,"F",$M$5:$M$65,"No")</f>
        <v>5</v>
      </c>
      <c r="AD20" s="126"/>
      <c r="AE20" s="6" t="s">
        <v>5</v>
      </c>
      <c r="AF20" s="6">
        <f>COUNTIFS($E$5:$E$65,"1",$M$5:$M$65,"Si")</f>
        <v>4</v>
      </c>
      <c r="AG20" s="39" t="s">
        <v>8</v>
      </c>
      <c r="AH20" s="6">
        <f>COUNTIFS($H$5:$H$65,"1",$M$5:$M$65,"Si")</f>
        <v>0</v>
      </c>
      <c r="AI20" s="6"/>
      <c r="AJ20" s="51"/>
      <c r="AK20" s="50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5.75" thickBot="1" x14ac:dyDescent="0.3">
      <c r="A21" s="3">
        <v>17</v>
      </c>
      <c r="B21" s="5">
        <v>42928</v>
      </c>
      <c r="C21" s="6" t="s">
        <v>30</v>
      </c>
      <c r="D21" s="6"/>
      <c r="E21" s="6"/>
      <c r="F21" s="6"/>
      <c r="G21" s="6"/>
      <c r="H21" s="6"/>
      <c r="I21" s="6">
        <v>1</v>
      </c>
      <c r="J21" s="6" t="s">
        <v>49</v>
      </c>
      <c r="K21" s="6" t="s">
        <v>32</v>
      </c>
      <c r="L21" s="6" t="s">
        <v>25</v>
      </c>
      <c r="M21" s="6" t="s">
        <v>20</v>
      </c>
      <c r="N21" s="6" t="s">
        <v>25</v>
      </c>
      <c r="O21" s="6" t="s">
        <v>25</v>
      </c>
      <c r="P21" s="6" t="s">
        <v>25</v>
      </c>
      <c r="Q21" s="6" t="s">
        <v>27</v>
      </c>
      <c r="R21" s="6" t="s">
        <v>20</v>
      </c>
      <c r="S21" s="6" t="s">
        <v>20</v>
      </c>
      <c r="U21" s="110"/>
      <c r="V21" s="13" t="s">
        <v>29</v>
      </c>
      <c r="W21" s="16">
        <f>+COUNTIF(M5:M39,"Blanco")</f>
        <v>0</v>
      </c>
      <c r="X21" s="127"/>
      <c r="Y21" s="26" t="s">
        <v>29</v>
      </c>
      <c r="Z21" s="52">
        <f>COUNTIFS($C$5:$C$65,"Blanco",$M$5:$M$65,"Si")</f>
        <v>0</v>
      </c>
      <c r="AA21" s="127"/>
      <c r="AB21" s="26" t="s">
        <v>29</v>
      </c>
      <c r="AC21" s="58">
        <f>COUNTIFS($C$5:$C$65,"Blanco",$M$5:$M$65,"No")</f>
        <v>0</v>
      </c>
      <c r="AD21" s="127"/>
      <c r="AE21" s="26" t="s">
        <v>6</v>
      </c>
      <c r="AF21" s="26">
        <f>COUNTIFS($F$5:$F$65,"1",$M$5:$M$65,"Si")</f>
        <v>4</v>
      </c>
      <c r="AG21" s="26" t="s">
        <v>9</v>
      </c>
      <c r="AH21" s="26">
        <f>COUNTIFS($I$5:$I$65,"1",$M$5:$M$65,"Si")</f>
        <v>8</v>
      </c>
      <c r="AI21" s="26"/>
      <c r="AJ21" s="52"/>
      <c r="AK21" s="50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x14ac:dyDescent="0.25">
      <c r="A22" s="3">
        <v>18</v>
      </c>
      <c r="B22" s="5">
        <v>42928</v>
      </c>
      <c r="C22" s="6" t="s">
        <v>23</v>
      </c>
      <c r="D22" s="6">
        <v>1</v>
      </c>
      <c r="E22" s="6"/>
      <c r="F22" s="6"/>
      <c r="G22" s="6"/>
      <c r="H22" s="6"/>
      <c r="I22" s="6"/>
      <c r="J22" s="6" t="s">
        <v>49</v>
      </c>
      <c r="K22" s="6" t="s">
        <v>32</v>
      </c>
      <c r="L22" s="6" t="s">
        <v>20</v>
      </c>
      <c r="M22" s="6" t="s">
        <v>20</v>
      </c>
      <c r="N22" s="6" t="s">
        <v>25</v>
      </c>
      <c r="O22" s="6" t="s">
        <v>25</v>
      </c>
      <c r="P22" s="6" t="s">
        <v>25</v>
      </c>
      <c r="Q22" s="6" t="s">
        <v>27</v>
      </c>
      <c r="R22" s="6" t="s">
        <v>20</v>
      </c>
      <c r="S22" s="6" t="s">
        <v>20</v>
      </c>
      <c r="U22" s="137" t="s">
        <v>38</v>
      </c>
      <c r="V22" s="12" t="s">
        <v>20</v>
      </c>
      <c r="W22" s="14">
        <f>+COUNTIF(N5:N39,"Si")</f>
        <v>13</v>
      </c>
      <c r="X22" s="125" t="s">
        <v>118</v>
      </c>
      <c r="Y22" s="48" t="s">
        <v>114</v>
      </c>
      <c r="Z22" s="49">
        <f>COUNTIFS($C$5:$C$65,"M",$N$5:$N$65,"Si")</f>
        <v>6</v>
      </c>
      <c r="AA22" s="125" t="s">
        <v>117</v>
      </c>
      <c r="AB22" s="48" t="s">
        <v>114</v>
      </c>
      <c r="AC22" s="55">
        <f>COUNTIFS($C$5:$C$65,"M",$N$5:$N$65,"No")</f>
        <v>10</v>
      </c>
      <c r="AD22" s="125" t="s">
        <v>117</v>
      </c>
      <c r="AE22" s="48" t="s">
        <v>4</v>
      </c>
      <c r="AF22" s="48">
        <f>COUNTIFS($D$5:$D$65,"1",$N$5:$N$65,"No")</f>
        <v>5</v>
      </c>
      <c r="AG22" s="48" t="s">
        <v>7</v>
      </c>
      <c r="AH22" s="48">
        <f>COUNTIFS($G$5:$G$65,"1",$N$5:$N$65,"No")</f>
        <v>3</v>
      </c>
      <c r="AI22" s="48" t="s">
        <v>29</v>
      </c>
      <c r="AJ22" s="49">
        <f>COUNTIFS($I$5:$I$65,"Blanco",$N$5:$N$65,"No")</f>
        <v>0</v>
      </c>
      <c r="AK22" s="50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x14ac:dyDescent="0.25">
      <c r="A23" s="3">
        <v>19</v>
      </c>
      <c r="B23" s="5">
        <v>42928</v>
      </c>
      <c r="C23" s="6" t="s">
        <v>30</v>
      </c>
      <c r="D23" s="6"/>
      <c r="E23" s="6"/>
      <c r="F23" s="6"/>
      <c r="G23" s="6"/>
      <c r="H23" s="6"/>
      <c r="I23" s="6">
        <v>1</v>
      </c>
      <c r="J23" s="6" t="s">
        <v>49</v>
      </c>
      <c r="K23" s="6" t="s">
        <v>32</v>
      </c>
      <c r="L23" s="6" t="s">
        <v>20</v>
      </c>
      <c r="M23" s="6" t="s">
        <v>20</v>
      </c>
      <c r="N23" s="6" t="s">
        <v>25</v>
      </c>
      <c r="O23" s="6" t="s">
        <v>20</v>
      </c>
      <c r="P23" s="6" t="s">
        <v>25</v>
      </c>
      <c r="Q23" s="6" t="s">
        <v>27</v>
      </c>
      <c r="R23" s="6" t="s">
        <v>20</v>
      </c>
      <c r="S23" s="6" t="s">
        <v>20</v>
      </c>
      <c r="U23" s="109"/>
      <c r="V23" s="9" t="s">
        <v>25</v>
      </c>
      <c r="W23" s="15">
        <f>+COUNTIF(N5:N39,"No")</f>
        <v>22</v>
      </c>
      <c r="X23" s="126"/>
      <c r="Y23" s="6" t="s">
        <v>115</v>
      </c>
      <c r="Z23" s="51">
        <f>COUNTIFS($C$5:$C$65,"F",$N$5:$N$65,"Si")</f>
        <v>7</v>
      </c>
      <c r="AA23" s="126"/>
      <c r="AB23" s="6" t="s">
        <v>115</v>
      </c>
      <c r="AC23" s="57">
        <f>COUNTIFS($C$5:$C$65,"F",$N$5:$N$65,"No")</f>
        <v>12</v>
      </c>
      <c r="AD23" s="126"/>
      <c r="AE23" s="6" t="s">
        <v>5</v>
      </c>
      <c r="AF23" s="6">
        <f>COUNTIFS($E$5:$E$65,"1",$N$5:$N$65,"No")</f>
        <v>4</v>
      </c>
      <c r="AG23" s="39" t="s">
        <v>8</v>
      </c>
      <c r="AH23" s="6">
        <f>COUNTIFS($H$5:$H$65,"1",$N$5:$N$65,"No")</f>
        <v>0</v>
      </c>
      <c r="AI23" s="6"/>
      <c r="AJ23" s="51"/>
      <c r="AK23" s="50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5.75" thickBot="1" x14ac:dyDescent="0.3">
      <c r="A24" s="3">
        <v>20</v>
      </c>
      <c r="B24" s="5">
        <v>42928</v>
      </c>
      <c r="C24" s="6" t="s">
        <v>23</v>
      </c>
      <c r="D24" s="6"/>
      <c r="E24" s="6">
        <v>1</v>
      </c>
      <c r="F24" s="6"/>
      <c r="G24" s="6"/>
      <c r="H24" s="6"/>
      <c r="I24" s="6"/>
      <c r="J24" s="6" t="s">
        <v>49</v>
      </c>
      <c r="K24" s="6" t="s">
        <v>32</v>
      </c>
      <c r="L24" s="6" t="s">
        <v>20</v>
      </c>
      <c r="M24" s="6" t="s">
        <v>25</v>
      </c>
      <c r="N24" s="6" t="s">
        <v>20</v>
      </c>
      <c r="O24" s="6" t="s">
        <v>20</v>
      </c>
      <c r="P24" s="6" t="s">
        <v>25</v>
      </c>
      <c r="Q24" s="6" t="s">
        <v>27</v>
      </c>
      <c r="R24" s="6" t="s">
        <v>20</v>
      </c>
      <c r="S24" s="6" t="s">
        <v>20</v>
      </c>
      <c r="U24" s="110"/>
      <c r="V24" s="13" t="s">
        <v>29</v>
      </c>
      <c r="W24" s="16">
        <f>+COUNTIF(N5:N39,"Blanco")</f>
        <v>0</v>
      </c>
      <c r="X24" s="127"/>
      <c r="Y24" s="26" t="s">
        <v>29</v>
      </c>
      <c r="Z24" s="52">
        <f>COUNTIFS($C$5:$C$65,"Blanco",$N$5:N65,"Si")</f>
        <v>0</v>
      </c>
      <c r="AA24" s="127"/>
      <c r="AB24" s="26" t="s">
        <v>29</v>
      </c>
      <c r="AC24" s="58">
        <f>COUNTIFS($C$5:$C$65,"Blanco",$N$5:$N$65,"No")</f>
        <v>0</v>
      </c>
      <c r="AD24" s="127"/>
      <c r="AE24" s="26" t="s">
        <v>6</v>
      </c>
      <c r="AF24" s="26">
        <f>COUNTIFS($F$5:$F$65,"1",$N$5:$N$65,"No")</f>
        <v>3</v>
      </c>
      <c r="AG24" s="26" t="s">
        <v>9</v>
      </c>
      <c r="AH24" s="26">
        <f>COUNTIFS($I$5:$I$65,"1",$N$5:$N$65,"No")</f>
        <v>7</v>
      </c>
      <c r="AI24" s="26"/>
      <c r="AJ24" s="52"/>
      <c r="AK24" s="50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x14ac:dyDescent="0.25">
      <c r="A25" s="3">
        <v>21</v>
      </c>
      <c r="B25" s="5">
        <v>42928</v>
      </c>
      <c r="C25" s="6" t="s">
        <v>30</v>
      </c>
      <c r="D25" s="6"/>
      <c r="E25" s="6"/>
      <c r="F25" s="6"/>
      <c r="G25" s="6"/>
      <c r="H25" s="6"/>
      <c r="I25" s="6">
        <v>1</v>
      </c>
      <c r="J25" s="6" t="s">
        <v>49</v>
      </c>
      <c r="K25" s="6" t="s">
        <v>32</v>
      </c>
      <c r="L25" s="6" t="s">
        <v>20</v>
      </c>
      <c r="M25" s="6" t="s">
        <v>20</v>
      </c>
      <c r="N25" s="6" t="s">
        <v>20</v>
      </c>
      <c r="O25" s="6" t="s">
        <v>20</v>
      </c>
      <c r="P25" s="6" t="s">
        <v>29</v>
      </c>
      <c r="Q25" s="6" t="s">
        <v>28</v>
      </c>
      <c r="R25" s="6" t="s">
        <v>20</v>
      </c>
      <c r="S25" s="6" t="s">
        <v>25</v>
      </c>
      <c r="U25" s="137" t="s">
        <v>39</v>
      </c>
      <c r="V25" s="12" t="s">
        <v>20</v>
      </c>
      <c r="W25" s="14">
        <f>+COUNTIF(O5:O39,"Si")</f>
        <v>14</v>
      </c>
      <c r="X25" s="125" t="s">
        <v>118</v>
      </c>
      <c r="Y25" s="48" t="s">
        <v>114</v>
      </c>
      <c r="Z25" s="49">
        <f>COUNTIFS($C$5:$C$65,"M",$O$5:O65,"Si")</f>
        <v>6</v>
      </c>
      <c r="AA25" s="128" t="s">
        <v>117</v>
      </c>
      <c r="AB25" s="19" t="s">
        <v>114</v>
      </c>
      <c r="AC25" s="65">
        <f>COUNTIFS($C$5:$C$65,"M",$O$5:$O$65,"No")</f>
        <v>10</v>
      </c>
      <c r="AD25" s="128" t="s">
        <v>117</v>
      </c>
      <c r="AE25" s="19" t="s">
        <v>4</v>
      </c>
      <c r="AF25" s="19">
        <f>COUNTIFS($D$5:$D$65,"1",$O$5:$O$65,"No")</f>
        <v>6</v>
      </c>
      <c r="AG25" s="19" t="s">
        <v>7</v>
      </c>
      <c r="AH25" s="19">
        <f>COUNTIFS($G$5:$G$65,"1",$O$5:$O$65,"No")</f>
        <v>2</v>
      </c>
      <c r="AI25" s="19" t="s">
        <v>29</v>
      </c>
      <c r="AJ25" s="66">
        <f>COUNTIFS($I$5:$I$65,"Blanco",$O$5:$O$65,"No")</f>
        <v>0</v>
      </c>
      <c r="AK25" s="50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x14ac:dyDescent="0.25">
      <c r="A26" s="3">
        <v>22</v>
      </c>
      <c r="B26" s="5">
        <v>42928</v>
      </c>
      <c r="C26" s="6" t="s">
        <v>23</v>
      </c>
      <c r="D26" s="6"/>
      <c r="E26" s="6"/>
      <c r="F26" s="6"/>
      <c r="G26" s="6"/>
      <c r="H26" s="6"/>
      <c r="I26" s="6">
        <v>1</v>
      </c>
      <c r="J26" s="6" t="s">
        <v>49</v>
      </c>
      <c r="K26" s="6" t="s">
        <v>32</v>
      </c>
      <c r="L26" s="6" t="s">
        <v>20</v>
      </c>
      <c r="M26" s="6" t="s">
        <v>25</v>
      </c>
      <c r="N26" s="6" t="s">
        <v>25</v>
      </c>
      <c r="O26" s="6" t="s">
        <v>20</v>
      </c>
      <c r="P26" s="6" t="s">
        <v>20</v>
      </c>
      <c r="Q26" s="6" t="s">
        <v>27</v>
      </c>
      <c r="R26" s="6" t="s">
        <v>20</v>
      </c>
      <c r="S26" s="6" t="s">
        <v>20</v>
      </c>
      <c r="U26" s="109"/>
      <c r="V26" s="9" t="s">
        <v>25</v>
      </c>
      <c r="W26" s="15">
        <f>+COUNTIF(O5:O39,"No")</f>
        <v>20</v>
      </c>
      <c r="X26" s="126"/>
      <c r="Y26" s="6" t="s">
        <v>115</v>
      </c>
      <c r="Z26" s="51">
        <f>COUNTIFS($C$5:$C$65,"F",$O$5:$O$65,"Si")</f>
        <v>8</v>
      </c>
      <c r="AA26" s="129"/>
      <c r="AB26" s="35" t="s">
        <v>115</v>
      </c>
      <c r="AC26" s="67">
        <f>COUNTIFS($C$2:$C$65,"F",$O$2:$O$65,"No")</f>
        <v>10</v>
      </c>
      <c r="AD26" s="129"/>
      <c r="AE26" s="35" t="s">
        <v>5</v>
      </c>
      <c r="AF26" s="35">
        <f>COUNTIFS($E$5:$E$65,"1",$O$5:$O$65,"No")</f>
        <v>6</v>
      </c>
      <c r="AG26" s="9" t="s">
        <v>8</v>
      </c>
      <c r="AH26" s="35">
        <f>COUNTIFS($H$5:$H$65,"1",$O$5:$O$65,"No")</f>
        <v>0</v>
      </c>
      <c r="AI26" s="35"/>
      <c r="AJ26" s="68"/>
      <c r="AK26" s="50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5.75" thickBot="1" x14ac:dyDescent="0.3">
      <c r="A27" s="3">
        <v>23</v>
      </c>
      <c r="B27" s="5">
        <v>42928</v>
      </c>
      <c r="C27" s="6" t="s">
        <v>23</v>
      </c>
      <c r="D27" s="6"/>
      <c r="E27" s="6"/>
      <c r="F27" s="6"/>
      <c r="G27" s="6">
        <v>1</v>
      </c>
      <c r="H27" s="6"/>
      <c r="I27" s="6"/>
      <c r="J27" s="6" t="s">
        <v>49</v>
      </c>
      <c r="K27" s="6" t="s">
        <v>32</v>
      </c>
      <c r="L27" s="6" t="s">
        <v>20</v>
      </c>
      <c r="M27" s="6" t="s">
        <v>20</v>
      </c>
      <c r="N27" s="6" t="s">
        <v>25</v>
      </c>
      <c r="O27" s="6" t="s">
        <v>20</v>
      </c>
      <c r="P27" s="6" t="s">
        <v>20</v>
      </c>
      <c r="Q27" s="6" t="s">
        <v>27</v>
      </c>
      <c r="R27" s="6" t="s">
        <v>20</v>
      </c>
      <c r="S27" s="6" t="s">
        <v>20</v>
      </c>
      <c r="U27" s="110"/>
      <c r="V27" s="13" t="s">
        <v>29</v>
      </c>
      <c r="W27" s="16">
        <f>+COUNTIF(O5:O39,"Blanco")</f>
        <v>1</v>
      </c>
      <c r="X27" s="127"/>
      <c r="Y27" s="26" t="s">
        <v>29</v>
      </c>
      <c r="Z27" s="52">
        <f>COUNTIFS($C$5:$C$65,"Blanco",$O$5:$O$65,"Si")</f>
        <v>0</v>
      </c>
      <c r="AA27" s="130"/>
      <c r="AB27" s="27" t="s">
        <v>29</v>
      </c>
      <c r="AC27" s="69">
        <f>COUNTIFS($C$2:$C$65,"Blanco",$O$2:$O$65,"No")</f>
        <v>0</v>
      </c>
      <c r="AD27" s="130"/>
      <c r="AE27" s="27" t="s">
        <v>6</v>
      </c>
      <c r="AF27" s="27">
        <f>COUNTIFS($F$5:$F$65,"1",$O$5:$O$65,"No")</f>
        <v>2</v>
      </c>
      <c r="AG27" s="27" t="s">
        <v>9</v>
      </c>
      <c r="AH27" s="27">
        <f>COUNTIFS($I$5:$I$65,"1",$O$5:$O$65,"No")</f>
        <v>4</v>
      </c>
      <c r="AI27" s="27"/>
      <c r="AJ27" s="70"/>
      <c r="AK27" s="50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x14ac:dyDescent="0.25">
      <c r="A28" s="3">
        <v>24</v>
      </c>
      <c r="B28" s="5">
        <v>42928</v>
      </c>
      <c r="C28" s="6" t="s">
        <v>23</v>
      </c>
      <c r="D28" s="6"/>
      <c r="E28" s="6"/>
      <c r="F28" s="6"/>
      <c r="G28" s="6"/>
      <c r="H28" s="6"/>
      <c r="I28" s="6">
        <v>1</v>
      </c>
      <c r="J28" s="6" t="s">
        <v>49</v>
      </c>
      <c r="K28" s="6" t="s">
        <v>32</v>
      </c>
      <c r="L28" s="6" t="s">
        <v>25</v>
      </c>
      <c r="M28" s="6" t="s">
        <v>20</v>
      </c>
      <c r="N28" s="6" t="s">
        <v>25</v>
      </c>
      <c r="O28" s="6" t="s">
        <v>20</v>
      </c>
      <c r="P28" s="6" t="s">
        <v>20</v>
      </c>
      <c r="Q28" s="6" t="s">
        <v>27</v>
      </c>
      <c r="R28" s="6" t="s">
        <v>20</v>
      </c>
      <c r="S28" s="6" t="s">
        <v>20</v>
      </c>
      <c r="U28" s="137" t="s">
        <v>40</v>
      </c>
      <c r="V28" s="12" t="s">
        <v>20</v>
      </c>
      <c r="W28" s="14">
        <f>+COUNTIF(P5:P39,"Si")</f>
        <v>12</v>
      </c>
      <c r="X28" s="125" t="s">
        <v>118</v>
      </c>
      <c r="Y28" s="48" t="s">
        <v>114</v>
      </c>
      <c r="Z28" s="49">
        <f>COUNTIFS($C$5:$C$65,"M",$P$5:$P$65,"Si")</f>
        <v>5</v>
      </c>
      <c r="AA28" s="128" t="s">
        <v>117</v>
      </c>
      <c r="AB28" s="19" t="s">
        <v>114</v>
      </c>
      <c r="AC28" s="65">
        <f>COUNTIFS($C$5:$C$65,"M",$P$5:$P$65,"No")</f>
        <v>10</v>
      </c>
      <c r="AD28" s="128" t="s">
        <v>117</v>
      </c>
      <c r="AE28" s="19" t="s">
        <v>4</v>
      </c>
      <c r="AF28" s="19">
        <f>COUNTIFS($D$5:$D$65,"1",$P$5:$P$65,"No")</f>
        <v>6</v>
      </c>
      <c r="AG28" s="19" t="s">
        <v>7</v>
      </c>
      <c r="AH28" s="19">
        <f>COUNTIFS($G$5:$G$65,"1",$P$5:$P$65,"No")</f>
        <v>2</v>
      </c>
      <c r="AI28" s="19" t="s">
        <v>29</v>
      </c>
      <c r="AJ28" s="66">
        <f>COUNTIFS($I$5:$I$65,"Blanco",$P$5:$P$65,"No")</f>
        <v>0</v>
      </c>
      <c r="AK28" s="50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x14ac:dyDescent="0.25">
      <c r="A29" s="3">
        <v>25</v>
      </c>
      <c r="B29" s="5">
        <v>42928</v>
      </c>
      <c r="C29" s="6" t="s">
        <v>30</v>
      </c>
      <c r="D29" s="6"/>
      <c r="E29" s="6">
        <v>1</v>
      </c>
      <c r="F29" s="6"/>
      <c r="G29" s="6"/>
      <c r="H29" s="6"/>
      <c r="I29" s="6"/>
      <c r="J29" s="6" t="s">
        <v>49</v>
      </c>
      <c r="K29" s="6" t="s">
        <v>32</v>
      </c>
      <c r="L29" s="6" t="s">
        <v>20</v>
      </c>
      <c r="M29" s="6" t="s">
        <v>20</v>
      </c>
      <c r="N29" s="6" t="s">
        <v>25</v>
      </c>
      <c r="O29" s="6" t="s">
        <v>25</v>
      </c>
      <c r="P29" s="6" t="s">
        <v>20</v>
      </c>
      <c r="Q29" s="6" t="s">
        <v>27</v>
      </c>
      <c r="R29" s="6" t="s">
        <v>20</v>
      </c>
      <c r="S29" s="6" t="s">
        <v>20</v>
      </c>
      <c r="U29" s="109"/>
      <c r="V29" s="9" t="s">
        <v>25</v>
      </c>
      <c r="W29" s="15">
        <f>+COUNTIF(P5:P39,"No")</f>
        <v>22</v>
      </c>
      <c r="X29" s="126"/>
      <c r="Y29" s="6" t="s">
        <v>115</v>
      </c>
      <c r="Z29" s="51">
        <f>COUNTIFS($C$5:$C$65,"F",$P$5:$P$65,"Si")</f>
        <v>7</v>
      </c>
      <c r="AA29" s="129"/>
      <c r="AB29" s="35" t="s">
        <v>115</v>
      </c>
      <c r="AC29" s="67">
        <f>COUNTIFS($C$5:$C$65,"F",$P$5:$P$65,"NO")</f>
        <v>12</v>
      </c>
      <c r="AD29" s="129"/>
      <c r="AE29" s="35" t="s">
        <v>5</v>
      </c>
      <c r="AF29" s="35">
        <f>COUNTIFS($E$5:$E$65,"1",$P$5:$P$65,"No")</f>
        <v>5</v>
      </c>
      <c r="AG29" s="9" t="s">
        <v>8</v>
      </c>
      <c r="AH29" s="35">
        <f>COUNTIFS($H$5:$H$65,"1",$P$5:$P$65,"No")</f>
        <v>0</v>
      </c>
      <c r="AI29" s="35"/>
      <c r="AJ29" s="68"/>
      <c r="AK29" s="50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5.75" thickBot="1" x14ac:dyDescent="0.3">
      <c r="A30" s="3">
        <v>26</v>
      </c>
      <c r="B30" s="5">
        <v>42929</v>
      </c>
      <c r="C30" s="6" t="s">
        <v>30</v>
      </c>
      <c r="D30" s="6"/>
      <c r="E30" s="6"/>
      <c r="F30" s="6"/>
      <c r="G30" s="6"/>
      <c r="H30" s="6"/>
      <c r="I30" s="6">
        <v>1</v>
      </c>
      <c r="J30" s="6" t="s">
        <v>49</v>
      </c>
      <c r="K30" s="6" t="s">
        <v>33</v>
      </c>
      <c r="L30" s="6" t="s">
        <v>20</v>
      </c>
      <c r="M30" s="6" t="s">
        <v>20</v>
      </c>
      <c r="N30" s="6" t="s">
        <v>25</v>
      </c>
      <c r="O30" s="6" t="s">
        <v>25</v>
      </c>
      <c r="P30" s="6" t="s">
        <v>25</v>
      </c>
      <c r="Q30" s="6" t="s">
        <v>28</v>
      </c>
      <c r="R30" s="6" t="s">
        <v>20</v>
      </c>
      <c r="S30" s="6" t="s">
        <v>20</v>
      </c>
      <c r="U30" s="110"/>
      <c r="V30" s="13" t="s">
        <v>29</v>
      </c>
      <c r="W30" s="16">
        <f>+COUNTIF(P5:P39,"Blanco")</f>
        <v>1</v>
      </c>
      <c r="X30" s="154"/>
      <c r="Y30" s="34" t="s">
        <v>29</v>
      </c>
      <c r="Z30" s="53">
        <f>COUNTIFS($C$5:$C$65,"Blanco",$P$5:$P$65,"Si")</f>
        <v>0</v>
      </c>
      <c r="AA30" s="153"/>
      <c r="AB30" s="71" t="s">
        <v>29</v>
      </c>
      <c r="AC30" s="72">
        <f>COUNTIFS($C$5:$C$65,"Blanco",$P$5:$P$65,"No")</f>
        <v>0</v>
      </c>
      <c r="AD30" s="130"/>
      <c r="AE30" s="27" t="s">
        <v>6</v>
      </c>
      <c r="AF30" s="27">
        <f>COUNTIFS($F$5:$F$65,"1",$P$5:$P$65,"No")</f>
        <v>4</v>
      </c>
      <c r="AG30" s="71" t="s">
        <v>9</v>
      </c>
      <c r="AH30" s="71">
        <f>COUNTIFS($I$5:$I$65,"1",$P$5:$P$65,"No")</f>
        <v>5</v>
      </c>
      <c r="AI30" s="71"/>
      <c r="AJ30" s="73"/>
      <c r="AK30" s="5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</row>
    <row r="31" spans="1:50" x14ac:dyDescent="0.25">
      <c r="A31" s="3">
        <v>27</v>
      </c>
      <c r="B31" s="5">
        <v>42929</v>
      </c>
      <c r="C31" s="6" t="s">
        <v>23</v>
      </c>
      <c r="D31" s="6"/>
      <c r="E31" s="6">
        <v>1</v>
      </c>
      <c r="F31" s="6"/>
      <c r="G31" s="6"/>
      <c r="H31" s="6"/>
      <c r="I31" s="6"/>
      <c r="J31" s="6" t="s">
        <v>49</v>
      </c>
      <c r="K31" s="6" t="s">
        <v>33</v>
      </c>
      <c r="L31" s="6" t="s">
        <v>25</v>
      </c>
      <c r="M31" s="6" t="s">
        <v>25</v>
      </c>
      <c r="N31" s="6" t="s">
        <v>25</v>
      </c>
      <c r="O31" s="6" t="s">
        <v>25</v>
      </c>
      <c r="P31" s="6" t="s">
        <v>25</v>
      </c>
      <c r="Q31" s="6" t="s">
        <v>28</v>
      </c>
      <c r="R31" s="6" t="s">
        <v>25</v>
      </c>
      <c r="S31" s="6" t="s">
        <v>25</v>
      </c>
      <c r="U31" s="137" t="s">
        <v>41</v>
      </c>
      <c r="V31" s="12" t="s">
        <v>27</v>
      </c>
      <c r="W31" s="14">
        <f>+COUNTIF(Q5:Q39,"Elevada")</f>
        <v>20</v>
      </c>
      <c r="X31" s="125" t="s">
        <v>116</v>
      </c>
      <c r="Y31" s="48" t="s">
        <v>114</v>
      </c>
      <c r="Z31" s="49">
        <f>COUNTIFS($C$5:$C$65,"M",$Q$5:$Q$65,"Elevada")</f>
        <v>9</v>
      </c>
      <c r="AA31" s="125" t="s">
        <v>119</v>
      </c>
      <c r="AB31" s="48" t="s">
        <v>114</v>
      </c>
      <c r="AC31" s="49">
        <f>COUNTIFS($C$5:$C$65,"M",$Q$5:$Q$65,"Alguna")</f>
        <v>3</v>
      </c>
      <c r="AD31" s="125" t="s">
        <v>120</v>
      </c>
      <c r="AE31" s="48" t="s">
        <v>114</v>
      </c>
      <c r="AF31" s="49">
        <f>COUNTIFS($C$5:$C$65,"M",$Q$5:$Q$65,"Poca")</f>
        <v>3</v>
      </c>
      <c r="AG31" s="125" t="s">
        <v>121</v>
      </c>
      <c r="AH31" s="48" t="s">
        <v>114</v>
      </c>
      <c r="AI31" s="55">
        <f>COUNTIFS($C$5:$C$65,"M",$Q$5:$Q$65,"Ninguna")</f>
        <v>1</v>
      </c>
      <c r="AJ31" s="55"/>
      <c r="AK31" s="125" t="s">
        <v>122</v>
      </c>
      <c r="AL31" s="56" t="s">
        <v>4</v>
      </c>
      <c r="AM31" s="48">
        <f>COUNTIFS($D$5:$D$65,"1",$Q$5:$Q$65,"Elevada")</f>
        <v>4</v>
      </c>
      <c r="AN31" s="48" t="s">
        <v>7</v>
      </c>
      <c r="AO31" s="48">
        <f>COUNTIFS($G$5:$G$65,"1",$Q$5:$Q$65,"Elevada")</f>
        <v>2</v>
      </c>
      <c r="AP31" s="48" t="s">
        <v>29</v>
      </c>
      <c r="AQ31" s="49">
        <f>COUNTIFS($I$5:$I$65,"Blanco",$Q$5:$Q$65,"Elevada")</f>
        <v>0</v>
      </c>
      <c r="AR31" s="125" t="s">
        <v>119</v>
      </c>
      <c r="AS31" s="48" t="s">
        <v>4</v>
      </c>
      <c r="AT31" s="48">
        <f>COUNTIFS($D$5:$D$65,"1",$Q$5:$Q$65,"Alguna")</f>
        <v>2</v>
      </c>
      <c r="AU31" s="48" t="s">
        <v>7</v>
      </c>
      <c r="AV31" s="48">
        <f>COUNTIFS($G$5:$G$65,"1",$Q$5:$Q$65,"Alguna")</f>
        <v>0</v>
      </c>
      <c r="AW31" s="48" t="s">
        <v>29</v>
      </c>
      <c r="AX31" s="49">
        <f>COUNTIFS($I$5:$I$65,"Blanco",$Q$5:$Q$65,"Alguna")</f>
        <v>0</v>
      </c>
    </row>
    <row r="32" spans="1:50" x14ac:dyDescent="0.25">
      <c r="A32" s="3">
        <v>28</v>
      </c>
      <c r="B32" s="5">
        <v>42929</v>
      </c>
      <c r="C32" s="6" t="s">
        <v>30</v>
      </c>
      <c r="D32" s="6"/>
      <c r="E32" s="6">
        <v>1</v>
      </c>
      <c r="F32" s="6"/>
      <c r="G32" s="6"/>
      <c r="H32" s="6"/>
      <c r="I32" s="6"/>
      <c r="J32" s="6" t="s">
        <v>49</v>
      </c>
      <c r="K32" s="6" t="s">
        <v>33</v>
      </c>
      <c r="L32" s="6" t="s">
        <v>25</v>
      </c>
      <c r="M32" s="6" t="s">
        <v>25</v>
      </c>
      <c r="N32" s="6" t="s">
        <v>25</v>
      </c>
      <c r="O32" s="6" t="s">
        <v>25</v>
      </c>
      <c r="P32" s="6" t="s">
        <v>25</v>
      </c>
      <c r="Q32" s="6" t="s">
        <v>27</v>
      </c>
      <c r="R32" s="6" t="s">
        <v>25</v>
      </c>
      <c r="S32" s="6" t="s">
        <v>25</v>
      </c>
      <c r="U32" s="109"/>
      <c r="V32" s="9" t="s">
        <v>28</v>
      </c>
      <c r="W32" s="15">
        <f>+COUNTIF(Q5:Q39,"Alguna")</f>
        <v>6</v>
      </c>
      <c r="X32" s="126"/>
      <c r="Y32" s="6" t="s">
        <v>115</v>
      </c>
      <c r="Z32" s="51">
        <f>COUNTIFS($C$5:$C$65,"F",$Q$5:$Q$65,"Elevada")</f>
        <v>11</v>
      </c>
      <c r="AA32" s="126"/>
      <c r="AB32" s="6" t="s">
        <v>115</v>
      </c>
      <c r="AC32" s="51">
        <f>COUNTIFS($C$5:$C$65,"F",$Q$5:$Q$65,"Alguna")</f>
        <v>3</v>
      </c>
      <c r="AD32" s="126"/>
      <c r="AE32" s="6" t="s">
        <v>115</v>
      </c>
      <c r="AF32" s="51">
        <f>COUNTIFS($C$5:$C$65,"F",$Q$5:$Q$65,"Poca")</f>
        <v>5</v>
      </c>
      <c r="AG32" s="126"/>
      <c r="AH32" s="6" t="s">
        <v>115</v>
      </c>
      <c r="AI32" s="57">
        <f>COUNTIFS($C$5:$C$65,"F",$Q$5:$Q$65,"Ninguna")</f>
        <v>0</v>
      </c>
      <c r="AJ32" s="57"/>
      <c r="AK32" s="126"/>
      <c r="AL32" s="50" t="s">
        <v>5</v>
      </c>
      <c r="AM32" s="6">
        <f>COUNTIFS($E$5:$E$65,"1",$Q$5:$Q$65,"Elevada")</f>
        <v>5</v>
      </c>
      <c r="AN32" s="39" t="s">
        <v>8</v>
      </c>
      <c r="AO32" s="6">
        <f>COUNTIFS($H$5:$H$65,"1",$Q$5:$Q$65,"Elevada")</f>
        <v>0</v>
      </c>
      <c r="AP32" s="6"/>
      <c r="AQ32" s="51"/>
      <c r="AR32" s="126"/>
      <c r="AS32" s="6" t="s">
        <v>5</v>
      </c>
      <c r="AT32" s="6">
        <f>COUNTIFS($E$5:$E$65,"1",$Q$5:$Q$65,"Alguna")</f>
        <v>2</v>
      </c>
      <c r="AU32" s="39" t="s">
        <v>8</v>
      </c>
      <c r="AV32" s="6">
        <f>COUNTIFS($H$5:$H$65,"1",$Q$5:$Q$65,"Alguna")</f>
        <v>0</v>
      </c>
      <c r="AW32" s="6"/>
      <c r="AX32" s="51"/>
    </row>
    <row r="33" spans="1:50" ht="15.75" thickBot="1" x14ac:dyDescent="0.3">
      <c r="A33" s="3">
        <v>29</v>
      </c>
      <c r="B33" s="5">
        <v>42929</v>
      </c>
      <c r="C33" s="6" t="s">
        <v>30</v>
      </c>
      <c r="D33" s="6"/>
      <c r="E33" s="6"/>
      <c r="F33" s="6"/>
      <c r="G33" s="6">
        <v>1</v>
      </c>
      <c r="H33" s="6"/>
      <c r="I33" s="6"/>
      <c r="J33" s="6" t="s">
        <v>49</v>
      </c>
      <c r="K33" s="6" t="s">
        <v>33</v>
      </c>
      <c r="L33" s="6" t="s">
        <v>25</v>
      </c>
      <c r="M33" s="6" t="s">
        <v>20</v>
      </c>
      <c r="N33" s="6" t="s">
        <v>25</v>
      </c>
      <c r="O33" s="6" t="s">
        <v>25</v>
      </c>
      <c r="P33" s="6" t="s">
        <v>25</v>
      </c>
      <c r="Q33" s="6" t="s">
        <v>26</v>
      </c>
      <c r="R33" s="6" t="s">
        <v>25</v>
      </c>
      <c r="S33" s="6" t="s">
        <v>25</v>
      </c>
      <c r="U33" s="109"/>
      <c r="V33" s="9" t="s">
        <v>26</v>
      </c>
      <c r="W33" s="15">
        <f>+COUNTIF(Q5:Q39,"Poca")</f>
        <v>8</v>
      </c>
      <c r="X33" s="127"/>
      <c r="Y33" s="26" t="s">
        <v>29</v>
      </c>
      <c r="Z33" s="52">
        <f>COUNTIFS($C$5:$C$65,"Blanco",Q5:Q65,"Elevada")</f>
        <v>0</v>
      </c>
      <c r="AA33" s="127"/>
      <c r="AB33" s="26" t="s">
        <v>29</v>
      </c>
      <c r="AC33" s="52">
        <f>COUNTIFS($C$5:$C$65,"Blanco",$Q$5:$Q$65,"Alguna")</f>
        <v>0</v>
      </c>
      <c r="AD33" s="127"/>
      <c r="AE33" s="26" t="s">
        <v>29</v>
      </c>
      <c r="AF33" s="52">
        <f>COUNTIFS($C$5:$C$65,"Blanco",$Q$5:$Q$65,"Poca")</f>
        <v>0</v>
      </c>
      <c r="AG33" s="127"/>
      <c r="AH33" s="26" t="s">
        <v>29</v>
      </c>
      <c r="AI33" s="58">
        <f>COUNTIFS($C$5:$C$65,"Blanco",$Q$5:$Q$65,"Ninguna")</f>
        <v>0</v>
      </c>
      <c r="AJ33" s="58"/>
      <c r="AK33" s="127"/>
      <c r="AL33" s="59" t="s">
        <v>6</v>
      </c>
      <c r="AM33" s="26">
        <f>COUNTIFS($F$5:$F$65,"1",$Q$5:$Q$65,"Elevada")</f>
        <v>2</v>
      </c>
      <c r="AN33" s="26" t="s">
        <v>9</v>
      </c>
      <c r="AO33" s="26">
        <f>COUNTIFS(I5:$I$65,"1",$Q$5:$Q$65,"Elevada")</f>
        <v>7</v>
      </c>
      <c r="AP33" s="26"/>
      <c r="AQ33" s="52"/>
      <c r="AR33" s="127"/>
      <c r="AS33" s="26" t="s">
        <v>6</v>
      </c>
      <c r="AT33" s="26">
        <f>COUNTIFS($F$5:$F$65,"1",$Q$5:$Q$65,"Alguna")</f>
        <v>0</v>
      </c>
      <c r="AU33" s="26" t="s">
        <v>9</v>
      </c>
      <c r="AV33" s="26">
        <f>COUNTIFS($I$5:$I$65,"1",$Q$5:$Q$65,"Alguna")</f>
        <v>2</v>
      </c>
      <c r="AW33" s="26"/>
      <c r="AX33" s="52"/>
    </row>
    <row r="34" spans="1:50" ht="15.75" thickBot="1" x14ac:dyDescent="0.3">
      <c r="A34" s="3">
        <v>30</v>
      </c>
      <c r="B34" s="5">
        <v>42929</v>
      </c>
      <c r="C34" s="6" t="s">
        <v>23</v>
      </c>
      <c r="D34" s="6"/>
      <c r="E34" s="6">
        <v>1</v>
      </c>
      <c r="F34" s="6"/>
      <c r="G34" s="6"/>
      <c r="H34" s="6"/>
      <c r="I34" s="6"/>
      <c r="J34" s="6" t="s">
        <v>49</v>
      </c>
      <c r="K34" s="6" t="s">
        <v>33</v>
      </c>
      <c r="L34" s="6" t="s">
        <v>20</v>
      </c>
      <c r="M34" s="6" t="s">
        <v>20</v>
      </c>
      <c r="N34" s="6" t="s">
        <v>20</v>
      </c>
      <c r="O34" s="6" t="s">
        <v>25</v>
      </c>
      <c r="P34" s="6" t="s">
        <v>25</v>
      </c>
      <c r="Q34" s="6" t="s">
        <v>27</v>
      </c>
      <c r="R34" s="6" t="s">
        <v>20</v>
      </c>
      <c r="S34" s="6" t="s">
        <v>20</v>
      </c>
      <c r="U34" s="110"/>
      <c r="V34" s="13" t="s">
        <v>34</v>
      </c>
      <c r="W34" s="16">
        <f>+COUNTIF(Q5:Q39,"Ninguna")</f>
        <v>1</v>
      </c>
      <c r="X34" s="47"/>
      <c r="Y34" s="60"/>
      <c r="Z34" s="62"/>
      <c r="AA34" s="63"/>
      <c r="AB34" s="60"/>
      <c r="AC34" s="64"/>
      <c r="AD34" s="60"/>
      <c r="AE34" s="60"/>
      <c r="AG34" s="60"/>
      <c r="AH34" s="60"/>
      <c r="AI34" s="60"/>
      <c r="AJ34" s="60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</row>
    <row r="35" spans="1:50" x14ac:dyDescent="0.25">
      <c r="A35" s="3">
        <v>31</v>
      </c>
      <c r="B35" s="5">
        <v>42929</v>
      </c>
      <c r="C35" s="6" t="s">
        <v>23</v>
      </c>
      <c r="D35" s="6"/>
      <c r="E35" s="6"/>
      <c r="F35" s="6">
        <v>1</v>
      </c>
      <c r="G35" s="6"/>
      <c r="H35" s="6"/>
      <c r="I35" s="6"/>
      <c r="J35" s="6" t="s">
        <v>49</v>
      </c>
      <c r="K35" s="6" t="s">
        <v>33</v>
      </c>
      <c r="L35" s="6" t="s">
        <v>20</v>
      </c>
      <c r="M35" s="6" t="s">
        <v>20</v>
      </c>
      <c r="N35" s="6" t="s">
        <v>20</v>
      </c>
      <c r="O35" s="6" t="s">
        <v>20</v>
      </c>
      <c r="P35" s="6" t="s">
        <v>20</v>
      </c>
      <c r="Q35" s="6" t="s">
        <v>27</v>
      </c>
      <c r="R35" s="6" t="s">
        <v>20</v>
      </c>
      <c r="S35" s="6" t="s">
        <v>20</v>
      </c>
      <c r="U35" s="137" t="s">
        <v>42</v>
      </c>
      <c r="V35" s="12" t="s">
        <v>20</v>
      </c>
      <c r="W35" s="14">
        <f>+COUNTIF(R5:R39,"Si")</f>
        <v>22</v>
      </c>
      <c r="X35" s="125" t="s">
        <v>118</v>
      </c>
      <c r="Y35" s="48" t="s">
        <v>114</v>
      </c>
      <c r="Z35" s="49">
        <f>COUNTIFS($C$5:$C$65,"M",$R$5:$R$65,"Si")</f>
        <v>10</v>
      </c>
      <c r="AA35" s="125" t="s">
        <v>117</v>
      </c>
      <c r="AB35" s="48" t="s">
        <v>114</v>
      </c>
      <c r="AC35" s="55">
        <f>COUNTIFS($C$5:$C$65,"M",$R$5:$R$65,"No")</f>
        <v>6</v>
      </c>
      <c r="AD35" s="125" t="s">
        <v>118</v>
      </c>
      <c r="AE35" s="48" t="s">
        <v>4</v>
      </c>
      <c r="AF35" s="48">
        <f>COUNTIFS($D$5:$D$65,"1",$R$5:$R$65,"Si")</f>
        <v>6</v>
      </c>
      <c r="AG35" s="48" t="s">
        <v>7</v>
      </c>
      <c r="AH35" s="48">
        <f>COUNTIFS($G$5:$G$65,"1",$R$5:$R$65,"Si")</f>
        <v>2</v>
      </c>
      <c r="AI35" s="48" t="s">
        <v>29</v>
      </c>
      <c r="AJ35" s="49">
        <f>COUNTIFS($I$5:$I$65,"Blanco",$R$5:$R$65,"Si")</f>
        <v>0</v>
      </c>
      <c r="AK35" s="50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x14ac:dyDescent="0.25">
      <c r="A36" s="3">
        <v>32</v>
      </c>
      <c r="B36" s="5">
        <v>42929</v>
      </c>
      <c r="C36" s="6" t="s">
        <v>23</v>
      </c>
      <c r="D36" s="6"/>
      <c r="E36" s="6"/>
      <c r="F36" s="6">
        <v>1</v>
      </c>
      <c r="G36" s="6"/>
      <c r="H36" s="6"/>
      <c r="I36" s="6"/>
      <c r="J36" s="6" t="s">
        <v>49</v>
      </c>
      <c r="K36" s="6" t="s">
        <v>33</v>
      </c>
      <c r="L36" s="6" t="s">
        <v>29</v>
      </c>
      <c r="M36" s="6" t="s">
        <v>20</v>
      </c>
      <c r="N36" s="6" t="s">
        <v>25</v>
      </c>
      <c r="O36" s="6" t="s">
        <v>20</v>
      </c>
      <c r="P36" s="6" t="s">
        <v>25</v>
      </c>
      <c r="Q36" s="6" t="s">
        <v>26</v>
      </c>
      <c r="R36" s="6" t="s">
        <v>20</v>
      </c>
      <c r="S36" s="6" t="s">
        <v>20</v>
      </c>
      <c r="U36" s="109"/>
      <c r="V36" s="9" t="s">
        <v>25</v>
      </c>
      <c r="W36" s="15">
        <f>+COUNTIF(R5:R39,"No")</f>
        <v>13</v>
      </c>
      <c r="X36" s="126"/>
      <c r="Y36" s="6" t="s">
        <v>115</v>
      </c>
      <c r="Z36" s="51">
        <f>COUNTIFS($C$5:$C$65,"F",$R$5:$R$65,"Si")</f>
        <v>12</v>
      </c>
      <c r="AA36" s="126"/>
      <c r="AB36" s="6" t="s">
        <v>115</v>
      </c>
      <c r="AC36" s="57">
        <f>COUNTIFS($C$5:$C$65,"F",$R$5:$R$65,"No")</f>
        <v>7</v>
      </c>
      <c r="AD36" s="126"/>
      <c r="AE36" s="6" t="s">
        <v>5</v>
      </c>
      <c r="AF36" s="6">
        <f>COUNTIFS($E$5:$E$65,"1",$R$5:$R$65,"Si")</f>
        <v>4</v>
      </c>
      <c r="AG36" s="39" t="s">
        <v>8</v>
      </c>
      <c r="AH36" s="6">
        <f>COUNTIFS($H$5:$H$65,"1",$R$5:$R$65,"Si")</f>
        <v>0</v>
      </c>
      <c r="AI36" s="6"/>
      <c r="AJ36" s="51"/>
      <c r="AK36" s="50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15.75" thickBot="1" x14ac:dyDescent="0.3">
      <c r="A37" s="3">
        <v>33</v>
      </c>
      <c r="B37" s="5">
        <v>42929</v>
      </c>
      <c r="C37" s="6" t="s">
        <v>30</v>
      </c>
      <c r="D37" s="6">
        <v>1</v>
      </c>
      <c r="E37" s="6"/>
      <c r="F37" s="6"/>
      <c r="G37" s="6"/>
      <c r="H37" s="6"/>
      <c r="I37" s="6"/>
      <c r="J37" s="6" t="s">
        <v>49</v>
      </c>
      <c r="K37" s="6" t="s">
        <v>33</v>
      </c>
      <c r="L37" s="6" t="s">
        <v>20</v>
      </c>
      <c r="M37" s="6" t="s">
        <v>20</v>
      </c>
      <c r="N37" s="6" t="s">
        <v>25</v>
      </c>
      <c r="O37" s="6" t="s">
        <v>25</v>
      </c>
      <c r="P37" s="6" t="s">
        <v>25</v>
      </c>
      <c r="Q37" s="6" t="s">
        <v>26</v>
      </c>
      <c r="R37" s="6" t="s">
        <v>20</v>
      </c>
      <c r="S37" s="6" t="s">
        <v>25</v>
      </c>
      <c r="U37" s="110"/>
      <c r="V37" s="13" t="s">
        <v>29</v>
      </c>
      <c r="W37" s="16">
        <f>+COUNTIF(R5:R39,"Blanco")</f>
        <v>0</v>
      </c>
      <c r="X37" s="127"/>
      <c r="Y37" s="26" t="s">
        <v>29</v>
      </c>
      <c r="Z37" s="52">
        <f>COUNTIFS($C$5:$C$65,"Blanco",$R$5:$R$65,"Si")</f>
        <v>0</v>
      </c>
      <c r="AA37" s="127"/>
      <c r="AB37" s="26" t="s">
        <v>29</v>
      </c>
      <c r="AC37" s="58">
        <f>COUNTIFS($C$5:$C$65,"Blanco",$R$5:$R$65,"No")</f>
        <v>0</v>
      </c>
      <c r="AD37" s="127"/>
      <c r="AE37" s="26" t="s">
        <v>6</v>
      </c>
      <c r="AF37" s="26">
        <f>COUNTIFS($F$5:$F$65,"1",$R$5:$R$65,"Si")</f>
        <v>3</v>
      </c>
      <c r="AG37" s="26" t="s">
        <v>9</v>
      </c>
      <c r="AH37" s="26">
        <f>COUNTIFS($I$5:$I$65,"1",$R$5:$R$65,"Si")</f>
        <v>7</v>
      </c>
      <c r="AI37" s="26"/>
      <c r="AJ37" s="52"/>
      <c r="AK37" s="50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x14ac:dyDescent="0.25">
      <c r="A38" s="3">
        <v>34</v>
      </c>
      <c r="B38" s="5">
        <v>42929</v>
      </c>
      <c r="C38" s="6" t="s">
        <v>30</v>
      </c>
      <c r="D38" s="6"/>
      <c r="E38" s="6">
        <v>1</v>
      </c>
      <c r="F38" s="6"/>
      <c r="G38" s="6"/>
      <c r="H38" s="6"/>
      <c r="I38" s="6"/>
      <c r="J38" s="6" t="s">
        <v>49</v>
      </c>
      <c r="K38" s="6" t="s">
        <v>33</v>
      </c>
      <c r="L38" s="6" t="s">
        <v>25</v>
      </c>
      <c r="M38" s="6" t="s">
        <v>25</v>
      </c>
      <c r="N38" s="6" t="s">
        <v>25</v>
      </c>
      <c r="O38" s="6" t="s">
        <v>25</v>
      </c>
      <c r="P38" s="6" t="s">
        <v>25</v>
      </c>
      <c r="Q38" s="6" t="s">
        <v>34</v>
      </c>
      <c r="R38" s="6" t="s">
        <v>25</v>
      </c>
      <c r="S38" s="6" t="s">
        <v>25</v>
      </c>
      <c r="U38" s="137" t="s">
        <v>43</v>
      </c>
      <c r="V38" s="12" t="s">
        <v>20</v>
      </c>
      <c r="W38" s="14">
        <f>+COUNTIF(S5:S39,"Si")</f>
        <v>23</v>
      </c>
      <c r="X38" s="125" t="s">
        <v>118</v>
      </c>
      <c r="Y38" s="48" t="s">
        <v>114</v>
      </c>
      <c r="Z38" s="49">
        <f>COUNTIFS($C$5:$C$65,"M",$S$5:$S$65,"Si")</f>
        <v>9</v>
      </c>
      <c r="AA38" s="125" t="s">
        <v>117</v>
      </c>
      <c r="AB38" s="48" t="s">
        <v>114</v>
      </c>
      <c r="AC38" s="55">
        <f>COUNTIFS($C$5:$C$65,"M",$S$5:$S$65,"No")</f>
        <v>7</v>
      </c>
      <c r="AD38" s="125" t="s">
        <v>118</v>
      </c>
      <c r="AE38" s="48" t="s">
        <v>4</v>
      </c>
      <c r="AF38" s="48">
        <f>COUNTIFS($D$5:$D$65,"1",$S$5:$S$65,"Si")</f>
        <v>6</v>
      </c>
      <c r="AG38" s="48" t="s">
        <v>7</v>
      </c>
      <c r="AH38" s="48">
        <f>COUNTIFS($G$5:$G$65,"1",$S$5:$S$65,"Si")</f>
        <v>2</v>
      </c>
      <c r="AI38" s="48" t="s">
        <v>29</v>
      </c>
      <c r="AJ38" s="49">
        <f>COUNTIFS($I$5:$I$65,"Blanco",$S$5:$S$65,"Si")</f>
        <v>0</v>
      </c>
      <c r="AK38" s="50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x14ac:dyDescent="0.25">
      <c r="A39" s="3">
        <v>35</v>
      </c>
      <c r="B39" s="5">
        <v>42929</v>
      </c>
      <c r="C39" s="6" t="s">
        <v>30</v>
      </c>
      <c r="D39" s="6"/>
      <c r="E39" s="6"/>
      <c r="F39" s="6">
        <v>1</v>
      </c>
      <c r="G39" s="6"/>
      <c r="H39" s="6"/>
      <c r="I39" s="6"/>
      <c r="J39" s="6" t="s">
        <v>49</v>
      </c>
      <c r="K39" s="6" t="s">
        <v>33</v>
      </c>
      <c r="L39" s="6" t="s">
        <v>25</v>
      </c>
      <c r="M39" s="6" t="s">
        <v>25</v>
      </c>
      <c r="N39" s="6" t="s">
        <v>25</v>
      </c>
      <c r="O39" s="6" t="s">
        <v>25</v>
      </c>
      <c r="P39" s="6" t="s">
        <v>25</v>
      </c>
      <c r="Q39" s="6" t="s">
        <v>26</v>
      </c>
      <c r="R39" s="6" t="s">
        <v>20</v>
      </c>
      <c r="S39" s="6" t="s">
        <v>25</v>
      </c>
      <c r="U39" s="109"/>
      <c r="V39" s="9" t="s">
        <v>25</v>
      </c>
      <c r="W39" s="15">
        <f>+COUNTIF(S5:S39,"No")</f>
        <v>12</v>
      </c>
      <c r="X39" s="126"/>
      <c r="Y39" s="6" t="s">
        <v>115</v>
      </c>
      <c r="Z39" s="51">
        <f>COUNTIFS($C$5:$C$65,"F",$S$5:$S$65,"Si")</f>
        <v>14</v>
      </c>
      <c r="AA39" s="126"/>
      <c r="AB39" s="6" t="s">
        <v>115</v>
      </c>
      <c r="AC39" s="57">
        <f>COUNTIFS($C$5:$C$65,"F",$S$5:$S$65,"No")</f>
        <v>5</v>
      </c>
      <c r="AD39" s="126"/>
      <c r="AE39" s="6" t="s">
        <v>5</v>
      </c>
      <c r="AF39" s="6">
        <f>COUNTIFS($E$5:$E$65,"1",$S$6:$S$66,"Si")</f>
        <v>3</v>
      </c>
      <c r="AG39" s="39" t="s">
        <v>8</v>
      </c>
      <c r="AH39" s="6">
        <f>COUNTIFS($H$5:$H$65,"1",$S$5:$S$65,"Si")</f>
        <v>0</v>
      </c>
      <c r="AI39" s="6"/>
      <c r="AJ39" s="51"/>
      <c r="AK39" s="50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5.75" thickBot="1" x14ac:dyDescent="0.3">
      <c r="U40" s="110"/>
      <c r="V40" s="13" t="s">
        <v>29</v>
      </c>
      <c r="W40" s="16">
        <f>+COUNTIF(S5:S39,"Blanco")</f>
        <v>0</v>
      </c>
      <c r="X40" s="127"/>
      <c r="Y40" s="26" t="s">
        <v>29</v>
      </c>
      <c r="Z40" s="52">
        <f>COUNTIFS($C$5:$C$65,"Blanco",$S$5:$S$65,"Si")</f>
        <v>0</v>
      </c>
      <c r="AA40" s="127"/>
      <c r="AB40" s="26" t="s">
        <v>29</v>
      </c>
      <c r="AC40" s="58">
        <f>COUNTIFS($C$5:$C$65,"Blanco",$S$5:$S$65,"No")</f>
        <v>0</v>
      </c>
      <c r="AD40" s="127"/>
      <c r="AE40" s="26" t="s">
        <v>6</v>
      </c>
      <c r="AF40" s="26">
        <f>COUNTIFS($F$5:$F$65,"1",$S$5:$S$65,"Si")</f>
        <v>3</v>
      </c>
      <c r="AG40" s="26" t="s">
        <v>9</v>
      </c>
      <c r="AH40" s="26">
        <f>COUNTIFS($I$5:$I$65,"1",$S$5:$S$65,"Si")</f>
        <v>7</v>
      </c>
      <c r="AI40" s="26"/>
      <c r="AJ40" s="52"/>
      <c r="AK40" s="50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</sheetData>
  <mergeCells count="58">
    <mergeCell ref="X38:X40"/>
    <mergeCell ref="AA38:AA40"/>
    <mergeCell ref="AD38:AD40"/>
    <mergeCell ref="AG31:AG33"/>
    <mergeCell ref="AK31:AK33"/>
    <mergeCell ref="AR31:AR33"/>
    <mergeCell ref="X35:X37"/>
    <mergeCell ref="AA35:AA37"/>
    <mergeCell ref="AD35:AD37"/>
    <mergeCell ref="X28:X30"/>
    <mergeCell ref="AA28:AA30"/>
    <mergeCell ref="AD28:AD30"/>
    <mergeCell ref="X31:X33"/>
    <mergeCell ref="AA31:AA33"/>
    <mergeCell ref="AD31:AD33"/>
    <mergeCell ref="X22:X24"/>
    <mergeCell ref="AA22:AA24"/>
    <mergeCell ref="AD22:AD24"/>
    <mergeCell ref="X25:X27"/>
    <mergeCell ref="AA25:AA27"/>
    <mergeCell ref="AD25:AD27"/>
    <mergeCell ref="U13:U15"/>
    <mergeCell ref="X16:X18"/>
    <mergeCell ref="AA16:AA18"/>
    <mergeCell ref="AD16:AD18"/>
    <mergeCell ref="X19:X21"/>
    <mergeCell ref="AA19:AA21"/>
    <mergeCell ref="AD19:AD21"/>
    <mergeCell ref="U31:U34"/>
    <mergeCell ref="U35:U37"/>
    <mergeCell ref="U38:U40"/>
    <mergeCell ref="U16:U18"/>
    <mergeCell ref="U19:U21"/>
    <mergeCell ref="U22:U24"/>
    <mergeCell ref="U25:U27"/>
    <mergeCell ref="U28:U30"/>
    <mergeCell ref="U2:V2"/>
    <mergeCell ref="U3:V3"/>
    <mergeCell ref="U4:V4"/>
    <mergeCell ref="U6:U12"/>
    <mergeCell ref="U1:W1"/>
    <mergeCell ref="U5:V5"/>
    <mergeCell ref="A1:S1"/>
    <mergeCell ref="A2:S2"/>
    <mergeCell ref="N3:N4"/>
    <mergeCell ref="O3:O4"/>
    <mergeCell ref="P3:P4"/>
    <mergeCell ref="Q3:Q4"/>
    <mergeCell ref="D3:I3"/>
    <mergeCell ref="R3:R4"/>
    <mergeCell ref="S3:S4"/>
    <mergeCell ref="A3:A4"/>
    <mergeCell ref="B3:B4"/>
    <mergeCell ref="C3:C4"/>
    <mergeCell ref="J3:J4"/>
    <mergeCell ref="K3:K4"/>
    <mergeCell ref="L3:L4"/>
    <mergeCell ref="M3:M4"/>
  </mergeCells>
  <pageMargins left="0.7" right="0.7" top="0.75" bottom="0.75" header="0.3" footer="0.3"/>
  <pageSetup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65"/>
  <sheetViews>
    <sheetView topLeftCell="V1" zoomScale="50" zoomScaleNormal="50" workbookViewId="0">
      <selection activeCell="AX34" sqref="AT34:AX36"/>
    </sheetView>
  </sheetViews>
  <sheetFormatPr baseColWidth="10" defaultRowHeight="15" x14ac:dyDescent="0.25"/>
  <cols>
    <col min="1" max="1" width="6.28515625" style="1" bestFit="1" customWidth="1"/>
    <col min="2" max="2" width="17.42578125" customWidth="1"/>
    <col min="4" max="4" width="9.7109375" bestFit="1" customWidth="1"/>
    <col min="5" max="5" width="10.140625" bestFit="1" customWidth="1"/>
    <col min="6" max="6" width="9.7109375" bestFit="1" customWidth="1"/>
    <col min="7" max="7" width="10.140625" bestFit="1" customWidth="1"/>
    <col min="8" max="8" width="9.7109375" bestFit="1" customWidth="1"/>
    <col min="9" max="9" width="14.140625" customWidth="1"/>
    <col min="10" max="10" width="20.140625" bestFit="1" customWidth="1"/>
    <col min="11" max="11" width="16" bestFit="1" customWidth="1"/>
    <col min="12" max="19" width="14.28515625" customWidth="1"/>
    <col min="21" max="21" width="48.42578125" style="7" customWidth="1"/>
    <col min="22" max="22" width="23.85546875" bestFit="1" customWidth="1"/>
    <col min="23" max="23" width="11.42578125" style="1"/>
  </cols>
  <sheetData>
    <row r="1" spans="1:23" ht="15.75" thickBot="1" x14ac:dyDescent="0.3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U1" s="144" t="s">
        <v>46</v>
      </c>
      <c r="V1" s="145"/>
      <c r="W1" s="148"/>
    </row>
    <row r="2" spans="1:23" ht="15.75" thickBot="1" x14ac:dyDescent="0.3">
      <c r="A2" s="123" t="s">
        <v>21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U2" s="144" t="s">
        <v>44</v>
      </c>
      <c r="V2" s="145"/>
      <c r="W2" s="17">
        <f>+COUNTIF(C5:C65,"M")</f>
        <v>18</v>
      </c>
    </row>
    <row r="3" spans="1:23" ht="15.75" customHeight="1" thickBot="1" x14ac:dyDescent="0.3">
      <c r="A3" s="149" t="s">
        <v>22</v>
      </c>
      <c r="B3" s="151" t="s">
        <v>2</v>
      </c>
      <c r="C3" s="149" t="s">
        <v>1</v>
      </c>
      <c r="D3" s="123" t="s">
        <v>3</v>
      </c>
      <c r="E3" s="123"/>
      <c r="F3" s="123"/>
      <c r="G3" s="123"/>
      <c r="H3" s="123"/>
      <c r="I3" s="123"/>
      <c r="J3" s="149" t="s">
        <v>11</v>
      </c>
      <c r="K3" s="149" t="s">
        <v>10</v>
      </c>
      <c r="L3" s="142" t="s">
        <v>12</v>
      </c>
      <c r="M3" s="142" t="s">
        <v>13</v>
      </c>
      <c r="N3" s="142" t="s">
        <v>14</v>
      </c>
      <c r="O3" s="142" t="s">
        <v>15</v>
      </c>
      <c r="P3" s="142" t="s">
        <v>16</v>
      </c>
      <c r="Q3" s="142" t="s">
        <v>17</v>
      </c>
      <c r="R3" s="142" t="s">
        <v>18</v>
      </c>
      <c r="S3" s="142" t="s">
        <v>19</v>
      </c>
      <c r="U3" s="144" t="s">
        <v>45</v>
      </c>
      <c r="V3" s="145"/>
      <c r="W3" s="17">
        <f>+COUNTIF(C5:C65,"F")</f>
        <v>14</v>
      </c>
    </row>
    <row r="4" spans="1:23" ht="15.75" customHeight="1" thickBot="1" x14ac:dyDescent="0.3">
      <c r="A4" s="150"/>
      <c r="B4" s="152"/>
      <c r="C4" s="150"/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150"/>
      <c r="K4" s="150"/>
      <c r="L4" s="143"/>
      <c r="M4" s="143"/>
      <c r="N4" s="143"/>
      <c r="O4" s="143"/>
      <c r="P4" s="143"/>
      <c r="Q4" s="143"/>
      <c r="R4" s="143"/>
      <c r="S4" s="143"/>
      <c r="U4" s="146" t="s">
        <v>29</v>
      </c>
      <c r="V4" s="147"/>
      <c r="W4" s="17">
        <f>+COUNTIF(C5:C65,"Blanco")</f>
        <v>2</v>
      </c>
    </row>
    <row r="5" spans="1:23" ht="15.75" thickBot="1" x14ac:dyDescent="0.3">
      <c r="A5" s="3">
        <v>1</v>
      </c>
      <c r="B5" s="29">
        <v>42937</v>
      </c>
      <c r="C5" s="28" t="s">
        <v>23</v>
      </c>
      <c r="D5" s="28">
        <v>1</v>
      </c>
      <c r="E5" s="28"/>
      <c r="F5" s="28"/>
      <c r="G5" s="28"/>
      <c r="H5" s="28"/>
      <c r="I5" s="28"/>
      <c r="J5" s="33" t="s">
        <v>111</v>
      </c>
      <c r="K5" s="33" t="s">
        <v>109</v>
      </c>
      <c r="L5" s="28" t="s">
        <v>25</v>
      </c>
      <c r="M5" s="28" t="s">
        <v>25</v>
      </c>
      <c r="N5" s="28" t="s">
        <v>25</v>
      </c>
      <c r="O5" s="28" t="s">
        <v>20</v>
      </c>
      <c r="P5" s="28" t="s">
        <v>25</v>
      </c>
      <c r="Q5" s="28" t="s">
        <v>27</v>
      </c>
      <c r="R5" s="28" t="s">
        <v>25</v>
      </c>
      <c r="S5" s="28" t="s">
        <v>25</v>
      </c>
      <c r="U5" s="146" t="s">
        <v>47</v>
      </c>
      <c r="V5" s="147"/>
      <c r="W5" s="18">
        <f>SUM(W2:W4)</f>
        <v>34</v>
      </c>
    </row>
    <row r="6" spans="1:23" x14ac:dyDescent="0.25">
      <c r="A6" s="3">
        <v>2</v>
      </c>
      <c r="B6" s="29">
        <v>42937</v>
      </c>
      <c r="C6" s="28" t="s">
        <v>23</v>
      </c>
      <c r="D6" s="28"/>
      <c r="E6" s="28"/>
      <c r="F6" s="28">
        <v>1</v>
      </c>
      <c r="G6" s="28"/>
      <c r="H6" s="28"/>
      <c r="I6" s="28"/>
      <c r="J6" s="33" t="s">
        <v>111</v>
      </c>
      <c r="K6" s="33" t="s">
        <v>109</v>
      </c>
      <c r="L6" s="28" t="s">
        <v>20</v>
      </c>
      <c r="M6" s="28" t="s">
        <v>20</v>
      </c>
      <c r="N6" s="28" t="s">
        <v>20</v>
      </c>
      <c r="O6" s="28" t="s">
        <v>25</v>
      </c>
      <c r="P6" s="28" t="s">
        <v>25</v>
      </c>
      <c r="Q6" s="28" t="s">
        <v>28</v>
      </c>
      <c r="R6" s="28" t="s">
        <v>20</v>
      </c>
      <c r="S6" s="28" t="s">
        <v>25</v>
      </c>
      <c r="U6" s="140" t="s">
        <v>3</v>
      </c>
      <c r="V6" s="11" t="s">
        <v>4</v>
      </c>
      <c r="W6" s="14">
        <f>+COUNTIF(D5:D65,"1")</f>
        <v>9</v>
      </c>
    </row>
    <row r="7" spans="1:23" x14ac:dyDescent="0.25">
      <c r="A7" s="3">
        <v>3</v>
      </c>
      <c r="B7" s="29">
        <v>42936</v>
      </c>
      <c r="C7" s="28" t="s">
        <v>30</v>
      </c>
      <c r="D7" s="28">
        <v>1</v>
      </c>
      <c r="E7" s="28"/>
      <c r="F7" s="28"/>
      <c r="G7" s="28"/>
      <c r="H7" s="28"/>
      <c r="I7" s="28"/>
      <c r="J7" s="33" t="s">
        <v>111</v>
      </c>
      <c r="K7" s="33" t="s">
        <v>109</v>
      </c>
      <c r="L7" s="28" t="s">
        <v>20</v>
      </c>
      <c r="M7" s="28" t="s">
        <v>20</v>
      </c>
      <c r="N7" s="28" t="s">
        <v>20</v>
      </c>
      <c r="O7" s="28" t="s">
        <v>20</v>
      </c>
      <c r="P7" s="28" t="s">
        <v>25</v>
      </c>
      <c r="Q7" s="28" t="s">
        <v>27</v>
      </c>
      <c r="R7" s="28" t="s">
        <v>20</v>
      </c>
      <c r="S7" s="28" t="s">
        <v>20</v>
      </c>
      <c r="U7" s="141"/>
      <c r="V7" s="8" t="s">
        <v>5</v>
      </c>
      <c r="W7" s="15">
        <f>+COUNTIF(E5:E65,"1")</f>
        <v>6</v>
      </c>
    </row>
    <row r="8" spans="1:23" x14ac:dyDescent="0.25">
      <c r="A8" s="3">
        <v>4</v>
      </c>
      <c r="B8" s="29">
        <v>42937</v>
      </c>
      <c r="C8" s="28" t="s">
        <v>23</v>
      </c>
      <c r="D8" s="28"/>
      <c r="E8" s="28"/>
      <c r="F8" s="28"/>
      <c r="G8" s="28">
        <v>1</v>
      </c>
      <c r="H8" s="28"/>
      <c r="I8" s="28"/>
      <c r="J8" s="33" t="s">
        <v>111</v>
      </c>
      <c r="K8" s="33" t="s">
        <v>109</v>
      </c>
      <c r="L8" s="28" t="s">
        <v>20</v>
      </c>
      <c r="M8" s="28" t="s">
        <v>20</v>
      </c>
      <c r="N8" s="28" t="s">
        <v>25</v>
      </c>
      <c r="O8" s="28" t="s">
        <v>25</v>
      </c>
      <c r="P8" s="28" t="s">
        <v>25</v>
      </c>
      <c r="Q8" s="28" t="s">
        <v>27</v>
      </c>
      <c r="R8" s="28" t="s">
        <v>25</v>
      </c>
      <c r="S8" s="28" t="s">
        <v>25</v>
      </c>
      <c r="T8" s="30"/>
      <c r="U8" s="141"/>
      <c r="V8" s="8" t="s">
        <v>6</v>
      </c>
      <c r="W8" s="15">
        <f>+COUNTIF(F5:F41,"1")</f>
        <v>4</v>
      </c>
    </row>
    <row r="9" spans="1:23" x14ac:dyDescent="0.25">
      <c r="A9" s="3">
        <v>5</v>
      </c>
      <c r="B9" s="29">
        <v>42936</v>
      </c>
      <c r="C9" s="28" t="s">
        <v>23</v>
      </c>
      <c r="D9" s="28"/>
      <c r="E9" s="28"/>
      <c r="F9" s="28"/>
      <c r="G9" s="28">
        <v>1</v>
      </c>
      <c r="H9" s="28"/>
      <c r="I9" s="28"/>
      <c r="J9" s="33" t="s">
        <v>111</v>
      </c>
      <c r="K9" s="33" t="s">
        <v>109</v>
      </c>
      <c r="L9" s="28" t="s">
        <v>20</v>
      </c>
      <c r="M9" s="28" t="s">
        <v>20</v>
      </c>
      <c r="N9" s="28" t="s">
        <v>20</v>
      </c>
      <c r="O9" s="28" t="s">
        <v>25</v>
      </c>
      <c r="P9" s="28" t="s">
        <v>20</v>
      </c>
      <c r="Q9" s="28" t="s">
        <v>27</v>
      </c>
      <c r="R9" s="28" t="s">
        <v>20</v>
      </c>
      <c r="S9" s="28" t="s">
        <v>20</v>
      </c>
      <c r="U9" s="141"/>
      <c r="V9" s="8" t="s">
        <v>7</v>
      </c>
      <c r="W9" s="15">
        <f>+COUNTIF(G5:G65,"1")</f>
        <v>6</v>
      </c>
    </row>
    <row r="10" spans="1:23" x14ac:dyDescent="0.25">
      <c r="A10" s="3">
        <v>6</v>
      </c>
      <c r="B10" s="29">
        <v>42937</v>
      </c>
      <c r="C10" s="28" t="s">
        <v>23</v>
      </c>
      <c r="D10" s="28"/>
      <c r="E10" s="28"/>
      <c r="F10" s="28">
        <v>1</v>
      </c>
      <c r="G10" s="28"/>
      <c r="H10" s="28"/>
      <c r="I10" s="28"/>
      <c r="J10" s="33" t="s">
        <v>111</v>
      </c>
      <c r="K10" s="33" t="s">
        <v>109</v>
      </c>
      <c r="L10" s="28" t="s">
        <v>25</v>
      </c>
      <c r="M10" s="28" t="s">
        <v>20</v>
      </c>
      <c r="N10" s="28" t="s">
        <v>25</v>
      </c>
      <c r="O10" s="28" t="s">
        <v>20</v>
      </c>
      <c r="P10" s="28" t="s">
        <v>25</v>
      </c>
      <c r="Q10" s="28" t="s">
        <v>26</v>
      </c>
      <c r="R10" s="28" t="s">
        <v>20</v>
      </c>
      <c r="S10" s="28" t="s">
        <v>25</v>
      </c>
      <c r="U10" s="141"/>
      <c r="V10" s="8" t="s">
        <v>8</v>
      </c>
      <c r="W10" s="15">
        <f>+COUNTIF(H5:H65,"1")</f>
        <v>2</v>
      </c>
    </row>
    <row r="11" spans="1:23" x14ac:dyDescent="0.25">
      <c r="A11" s="3">
        <v>7</v>
      </c>
      <c r="B11" s="29">
        <v>42937</v>
      </c>
      <c r="C11" s="28" t="s">
        <v>23</v>
      </c>
      <c r="D11" s="28"/>
      <c r="E11" s="28"/>
      <c r="F11" s="28"/>
      <c r="G11" s="28">
        <v>1</v>
      </c>
      <c r="H11" s="28"/>
      <c r="I11" s="28"/>
      <c r="J11" s="33" t="s">
        <v>111</v>
      </c>
      <c r="K11" s="33" t="s">
        <v>109</v>
      </c>
      <c r="L11" s="28" t="s">
        <v>20</v>
      </c>
      <c r="M11" s="28" t="s">
        <v>20</v>
      </c>
      <c r="N11" s="28" t="s">
        <v>20</v>
      </c>
      <c r="O11" s="28" t="s">
        <v>20</v>
      </c>
      <c r="P11" s="28" t="s">
        <v>20</v>
      </c>
      <c r="Q11" s="20" t="s">
        <v>34</v>
      </c>
      <c r="R11" s="28" t="s">
        <v>20</v>
      </c>
      <c r="S11" s="28" t="s">
        <v>20</v>
      </c>
      <c r="U11" s="141"/>
      <c r="V11" s="22" t="s">
        <v>9</v>
      </c>
      <c r="W11" s="23">
        <f>+COUNTIF(I5:I65,"1")</f>
        <v>6</v>
      </c>
    </row>
    <row r="12" spans="1:23" ht="15.75" thickBot="1" x14ac:dyDescent="0.3">
      <c r="A12" s="3">
        <v>8</v>
      </c>
      <c r="B12" s="29">
        <v>42937</v>
      </c>
      <c r="C12" s="28" t="s">
        <v>23</v>
      </c>
      <c r="D12" s="28">
        <v>1</v>
      </c>
      <c r="E12" s="28"/>
      <c r="F12" s="28"/>
      <c r="G12" s="28"/>
      <c r="H12" s="28"/>
      <c r="I12" s="28"/>
      <c r="J12" s="33" t="s">
        <v>111</v>
      </c>
      <c r="K12" s="33" t="s">
        <v>109</v>
      </c>
      <c r="L12" s="28" t="s">
        <v>20</v>
      </c>
      <c r="M12" s="28" t="s">
        <v>20</v>
      </c>
      <c r="N12" s="28" t="s">
        <v>20</v>
      </c>
      <c r="O12" s="28" t="s">
        <v>25</v>
      </c>
      <c r="P12" s="28" t="s">
        <v>25</v>
      </c>
      <c r="Q12" s="28" t="s">
        <v>28</v>
      </c>
      <c r="R12" s="28" t="s">
        <v>20</v>
      </c>
      <c r="S12" s="28" t="s">
        <v>20</v>
      </c>
      <c r="U12" s="141"/>
      <c r="V12" s="34" t="s">
        <v>29</v>
      </c>
      <c r="W12" s="23">
        <f>+COUNTIF(I5:I65,"Blanco")</f>
        <v>1</v>
      </c>
    </row>
    <row r="13" spans="1:23" x14ac:dyDescent="0.25">
      <c r="A13" s="3">
        <v>9</v>
      </c>
      <c r="B13" s="29">
        <v>42937</v>
      </c>
      <c r="C13" s="28" t="s">
        <v>30</v>
      </c>
      <c r="D13" s="28"/>
      <c r="E13" s="28"/>
      <c r="F13" s="28"/>
      <c r="G13" s="28"/>
      <c r="H13" s="28"/>
      <c r="I13" s="28">
        <v>1</v>
      </c>
      <c r="J13" s="33" t="s">
        <v>111</v>
      </c>
      <c r="K13" s="33" t="s">
        <v>109</v>
      </c>
      <c r="L13" s="28" t="s">
        <v>25</v>
      </c>
      <c r="M13" s="28" t="s">
        <v>20</v>
      </c>
      <c r="N13" s="28" t="s">
        <v>25</v>
      </c>
      <c r="O13" s="28" t="s">
        <v>25</v>
      </c>
      <c r="P13" s="28" t="s">
        <v>25</v>
      </c>
      <c r="Q13" s="28" t="s">
        <v>27</v>
      </c>
      <c r="R13" s="28" t="s">
        <v>20</v>
      </c>
      <c r="S13" s="28" t="s">
        <v>20</v>
      </c>
      <c r="U13" s="137" t="s">
        <v>35</v>
      </c>
      <c r="V13" s="19" t="s">
        <v>109</v>
      </c>
      <c r="W13" s="14">
        <f>+COUNTIF(K5:K65,"Roatan")</f>
        <v>20</v>
      </c>
    </row>
    <row r="14" spans="1:23" x14ac:dyDescent="0.25">
      <c r="A14" s="3">
        <v>10</v>
      </c>
      <c r="B14" s="29">
        <v>42937</v>
      </c>
      <c r="C14" s="28" t="s">
        <v>23</v>
      </c>
      <c r="D14" s="28"/>
      <c r="E14" s="28"/>
      <c r="F14" s="28">
        <v>1</v>
      </c>
      <c r="G14" s="28"/>
      <c r="H14" s="28"/>
      <c r="I14" s="28"/>
      <c r="J14" s="33" t="s">
        <v>111</v>
      </c>
      <c r="K14" s="33" t="s">
        <v>109</v>
      </c>
      <c r="L14" s="28" t="s">
        <v>20</v>
      </c>
      <c r="M14" s="28" t="s">
        <v>20</v>
      </c>
      <c r="N14" s="28" t="s">
        <v>20</v>
      </c>
      <c r="O14" s="28" t="s">
        <v>20</v>
      </c>
      <c r="P14" s="28" t="s">
        <v>25</v>
      </c>
      <c r="Q14" s="28" t="s">
        <v>27</v>
      </c>
      <c r="R14" s="28" t="s">
        <v>20</v>
      </c>
      <c r="S14" s="28" t="s">
        <v>20</v>
      </c>
      <c r="U14" s="109"/>
      <c r="V14" s="6" t="s">
        <v>110</v>
      </c>
      <c r="W14" s="15">
        <f>+COUNTIF(K5:K65,"Oak Ridge")</f>
        <v>14</v>
      </c>
    </row>
    <row r="15" spans="1:23" x14ac:dyDescent="0.25">
      <c r="A15" s="3">
        <v>11</v>
      </c>
      <c r="B15" s="29">
        <v>42937</v>
      </c>
      <c r="C15" s="28" t="s">
        <v>30</v>
      </c>
      <c r="D15" s="28">
        <v>1</v>
      </c>
      <c r="E15" s="28"/>
      <c r="F15" s="28"/>
      <c r="G15" s="28"/>
      <c r="H15" s="28"/>
      <c r="I15" s="28"/>
      <c r="J15" s="33" t="s">
        <v>111</v>
      </c>
      <c r="K15" s="33" t="s">
        <v>109</v>
      </c>
      <c r="L15" s="28" t="s">
        <v>20</v>
      </c>
      <c r="M15" s="28" t="s">
        <v>20</v>
      </c>
      <c r="N15" s="28" t="s">
        <v>25</v>
      </c>
      <c r="O15" s="28" t="s">
        <v>25</v>
      </c>
      <c r="P15" s="28" t="s">
        <v>25</v>
      </c>
      <c r="Q15" s="28" t="s">
        <v>28</v>
      </c>
      <c r="R15" s="28" t="s">
        <v>20</v>
      </c>
      <c r="S15" s="28" t="s">
        <v>25</v>
      </c>
      <c r="U15" s="109"/>
      <c r="V15" s="35"/>
      <c r="W15" s="15"/>
    </row>
    <row r="16" spans="1:23" x14ac:dyDescent="0.25">
      <c r="A16" s="3">
        <v>12</v>
      </c>
      <c r="B16" s="29">
        <v>42937</v>
      </c>
      <c r="C16" s="28" t="s">
        <v>30</v>
      </c>
      <c r="D16" s="28">
        <v>1</v>
      </c>
      <c r="E16" s="28"/>
      <c r="F16" s="28"/>
      <c r="G16" s="28"/>
      <c r="H16" s="28"/>
      <c r="I16" s="28"/>
      <c r="J16" s="33" t="s">
        <v>111</v>
      </c>
      <c r="K16" s="33" t="s">
        <v>109</v>
      </c>
      <c r="L16" s="28" t="s">
        <v>20</v>
      </c>
      <c r="M16" s="28" t="s">
        <v>20</v>
      </c>
      <c r="N16" s="28" t="s">
        <v>25</v>
      </c>
      <c r="O16" s="28" t="s">
        <v>25</v>
      </c>
      <c r="P16" s="28" t="s">
        <v>20</v>
      </c>
      <c r="Q16" s="28" t="s">
        <v>27</v>
      </c>
      <c r="R16" s="28" t="s">
        <v>20</v>
      </c>
      <c r="S16" s="28" t="s">
        <v>20</v>
      </c>
      <c r="U16" s="109"/>
      <c r="V16" s="6"/>
      <c r="W16" s="15"/>
    </row>
    <row r="17" spans="1:50" x14ac:dyDescent="0.25">
      <c r="A17" s="3">
        <v>13</v>
      </c>
      <c r="B17" s="29">
        <v>42937</v>
      </c>
      <c r="C17" s="28" t="s">
        <v>30</v>
      </c>
      <c r="D17" s="28">
        <v>1</v>
      </c>
      <c r="E17" s="28"/>
      <c r="F17" s="28"/>
      <c r="G17" s="28"/>
      <c r="H17" s="28"/>
      <c r="I17" s="28"/>
      <c r="J17" s="33" t="s">
        <v>111</v>
      </c>
      <c r="K17" s="33" t="s">
        <v>109</v>
      </c>
      <c r="L17" s="28" t="s">
        <v>20</v>
      </c>
      <c r="M17" s="28" t="s">
        <v>20</v>
      </c>
      <c r="N17" s="28" t="s">
        <v>25</v>
      </c>
      <c r="O17" s="28" t="s">
        <v>25</v>
      </c>
      <c r="P17" s="28" t="s">
        <v>25</v>
      </c>
      <c r="Q17" s="28" t="s">
        <v>28</v>
      </c>
      <c r="R17" s="28" t="s">
        <v>20</v>
      </c>
      <c r="S17" s="28" t="s">
        <v>20</v>
      </c>
      <c r="U17" s="138"/>
      <c r="V17" s="34"/>
      <c r="W17" s="15"/>
    </row>
    <row r="18" spans="1:50" ht="15.75" thickBot="1" x14ac:dyDescent="0.3">
      <c r="A18" s="3">
        <v>14</v>
      </c>
      <c r="B18" s="29">
        <v>42937</v>
      </c>
      <c r="C18" s="28" t="s">
        <v>29</v>
      </c>
      <c r="D18" s="28">
        <v>1</v>
      </c>
      <c r="E18" s="28"/>
      <c r="F18" s="28"/>
      <c r="G18" s="28"/>
      <c r="H18" s="28"/>
      <c r="I18" s="28"/>
      <c r="J18" s="33" t="s">
        <v>111</v>
      </c>
      <c r="K18" s="33" t="s">
        <v>109</v>
      </c>
      <c r="L18" s="28" t="s">
        <v>20</v>
      </c>
      <c r="M18" s="28" t="s">
        <v>25</v>
      </c>
      <c r="N18" s="28" t="s">
        <v>25</v>
      </c>
      <c r="O18" s="28" t="s">
        <v>25</v>
      </c>
      <c r="P18" s="28" t="s">
        <v>25</v>
      </c>
      <c r="Q18" s="28" t="s">
        <v>28</v>
      </c>
      <c r="R18" s="28" t="s">
        <v>20</v>
      </c>
      <c r="S18" s="28" t="s">
        <v>25</v>
      </c>
      <c r="U18" s="110"/>
      <c r="V18" s="26"/>
      <c r="W18" s="16"/>
    </row>
    <row r="19" spans="1:50" ht="15" customHeight="1" x14ac:dyDescent="0.25">
      <c r="A19" s="3">
        <v>15</v>
      </c>
      <c r="B19" s="29">
        <v>42937</v>
      </c>
      <c r="C19" s="28" t="s">
        <v>23</v>
      </c>
      <c r="D19" s="28"/>
      <c r="E19" s="28"/>
      <c r="F19" s="28"/>
      <c r="G19" s="28"/>
      <c r="H19" s="28"/>
      <c r="I19" s="28">
        <v>1</v>
      </c>
      <c r="J19" s="33" t="s">
        <v>111</v>
      </c>
      <c r="K19" s="33" t="s">
        <v>109</v>
      </c>
      <c r="L19" s="28" t="s">
        <v>25</v>
      </c>
      <c r="M19" s="28" t="s">
        <v>25</v>
      </c>
      <c r="N19" s="28" t="s">
        <v>25</v>
      </c>
      <c r="O19" s="28" t="s">
        <v>25</v>
      </c>
      <c r="P19" s="28" t="s">
        <v>25</v>
      </c>
      <c r="Q19" s="28" t="s">
        <v>34</v>
      </c>
      <c r="R19" s="28" t="s">
        <v>25</v>
      </c>
      <c r="S19" s="28" t="s">
        <v>25</v>
      </c>
      <c r="U19" s="139" t="s">
        <v>36</v>
      </c>
      <c r="V19" s="10" t="s">
        <v>20</v>
      </c>
      <c r="W19" s="25">
        <f>+COUNTIF(L5:L65,"Si")</f>
        <v>18</v>
      </c>
      <c r="X19" s="125" t="s">
        <v>118</v>
      </c>
      <c r="Y19" s="48" t="s">
        <v>114</v>
      </c>
      <c r="Z19" s="49">
        <f>COUNTIFS($C$5:$C$65,"M",$L$5:$L$65,"Si")</f>
        <v>8</v>
      </c>
      <c r="AA19" s="125" t="s">
        <v>117</v>
      </c>
      <c r="AB19" s="48" t="s">
        <v>114</v>
      </c>
      <c r="AC19" s="55">
        <f>COUNTIFS($C$5:$C$65,"M",$L$5:$L$65,"No")</f>
        <v>10</v>
      </c>
      <c r="AD19" s="125" t="s">
        <v>118</v>
      </c>
      <c r="AE19" s="48" t="s">
        <v>4</v>
      </c>
      <c r="AF19" s="48">
        <f>COUNTIFS($D$5:$D$65,"1",$L$5:$L$65,"Si")</f>
        <v>7</v>
      </c>
      <c r="AG19" s="48" t="s">
        <v>7</v>
      </c>
      <c r="AH19" s="48">
        <f>COUNTIFS($G$5:$G$65,"1",$L$5:$L$65,"Si")</f>
        <v>5</v>
      </c>
      <c r="AI19" s="48" t="s">
        <v>29</v>
      </c>
      <c r="AJ19" s="49">
        <f>COUNTIFS($I$5:$I$65,"Blanco",$L$5:$L$65,"Si")</f>
        <v>0</v>
      </c>
      <c r="AK19" s="50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x14ac:dyDescent="0.25">
      <c r="A20" s="3">
        <v>16</v>
      </c>
      <c r="B20" s="29">
        <v>42937</v>
      </c>
      <c r="C20" s="28" t="s">
        <v>23</v>
      </c>
      <c r="D20" s="28"/>
      <c r="E20" s="28"/>
      <c r="F20" s="28"/>
      <c r="G20" s="28"/>
      <c r="H20" s="28"/>
      <c r="I20" s="28">
        <v>1</v>
      </c>
      <c r="J20" s="33" t="s">
        <v>111</v>
      </c>
      <c r="K20" s="33" t="s">
        <v>109</v>
      </c>
      <c r="L20" s="28" t="s">
        <v>25</v>
      </c>
      <c r="M20" s="28" t="s">
        <v>20</v>
      </c>
      <c r="N20" s="28" t="s">
        <v>25</v>
      </c>
      <c r="O20" s="28" t="s">
        <v>25</v>
      </c>
      <c r="P20" s="28" t="s">
        <v>25</v>
      </c>
      <c r="Q20" s="28" t="s">
        <v>28</v>
      </c>
      <c r="R20" s="28" t="s">
        <v>20</v>
      </c>
      <c r="S20" s="28" t="s">
        <v>20</v>
      </c>
      <c r="U20" s="109"/>
      <c r="V20" s="9" t="s">
        <v>25</v>
      </c>
      <c r="W20" s="15">
        <f>+COUNTIF(L5:L65,"No")</f>
        <v>16</v>
      </c>
      <c r="X20" s="126"/>
      <c r="Y20" s="6" t="s">
        <v>115</v>
      </c>
      <c r="Z20" s="51">
        <f>COUNTIFS($C$5:$C$65,"F",$L$5:$L$65,"Si")</f>
        <v>8</v>
      </c>
      <c r="AA20" s="126"/>
      <c r="AB20" s="6" t="s">
        <v>115</v>
      </c>
      <c r="AC20" s="57">
        <f>COUNTIFS($C$5:$C$65,"F",$L$5:$L$65,"No")</f>
        <v>6</v>
      </c>
      <c r="AD20" s="126"/>
      <c r="AE20" s="6" t="s">
        <v>5</v>
      </c>
      <c r="AF20" s="6">
        <f>COUNTIFS($E$5:$E$65,"1",$L$5:$L$65,"Si")</f>
        <v>3</v>
      </c>
      <c r="AG20" s="39" t="s">
        <v>8</v>
      </c>
      <c r="AH20" s="6">
        <f>COUNTIFS($H$5:$H$65,"1",$L$5:$L$65,"Si")</f>
        <v>0</v>
      </c>
      <c r="AI20" s="6"/>
      <c r="AJ20" s="51"/>
      <c r="AK20" s="50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5.75" thickBot="1" x14ac:dyDescent="0.3">
      <c r="A21" s="3">
        <v>17</v>
      </c>
      <c r="B21" s="29">
        <v>42937</v>
      </c>
      <c r="C21" s="28" t="s">
        <v>30</v>
      </c>
      <c r="D21" s="28"/>
      <c r="E21" s="28"/>
      <c r="F21" s="28"/>
      <c r="G21" s="28"/>
      <c r="H21" s="28"/>
      <c r="I21" s="28">
        <v>1</v>
      </c>
      <c r="J21" s="33" t="s">
        <v>111</v>
      </c>
      <c r="K21" s="33" t="s">
        <v>109</v>
      </c>
      <c r="L21" s="28" t="s">
        <v>25</v>
      </c>
      <c r="M21" s="28" t="s">
        <v>25</v>
      </c>
      <c r="N21" s="28" t="s">
        <v>25</v>
      </c>
      <c r="O21" s="28" t="s">
        <v>25</v>
      </c>
      <c r="P21" s="28" t="s">
        <v>25</v>
      </c>
      <c r="Q21" s="28" t="s">
        <v>26</v>
      </c>
      <c r="R21" s="28" t="s">
        <v>20</v>
      </c>
      <c r="S21" s="28" t="s">
        <v>25</v>
      </c>
      <c r="U21" s="110"/>
      <c r="V21" s="13" t="s">
        <v>29</v>
      </c>
      <c r="W21" s="16">
        <f>+COUNTIF(L5:L65,"Blanco")</f>
        <v>0</v>
      </c>
      <c r="X21" s="127"/>
      <c r="Y21" s="26" t="s">
        <v>29</v>
      </c>
      <c r="Z21" s="52">
        <f>COUNTIFS($C$5:$C$65,"Blanco",$L$5:$L$65,"Si")</f>
        <v>2</v>
      </c>
      <c r="AA21" s="127"/>
      <c r="AB21" s="26" t="s">
        <v>29</v>
      </c>
      <c r="AC21" s="58">
        <f>COUNTIFS($C$5:$C$65,"Blanco",$L$5:$L$65,"No")</f>
        <v>0</v>
      </c>
      <c r="AD21" s="127"/>
      <c r="AE21" s="26" t="s">
        <v>6</v>
      </c>
      <c r="AF21" s="26">
        <f>COUNTIFS($F$5:$F$65,"1",$L$5:$L$65,"Si")</f>
        <v>3</v>
      </c>
      <c r="AG21" s="26" t="s">
        <v>9</v>
      </c>
      <c r="AH21" s="26">
        <f>COUNTIFS($I$5:$I$65,"1",$L$5:$L$65,"Si")</f>
        <v>0</v>
      </c>
      <c r="AI21" s="26"/>
      <c r="AJ21" s="52"/>
      <c r="AK21" s="50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x14ac:dyDescent="0.25">
      <c r="A22" s="3">
        <v>18</v>
      </c>
      <c r="B22" s="29">
        <v>42937</v>
      </c>
      <c r="C22" s="28" t="s">
        <v>30</v>
      </c>
      <c r="D22" s="28"/>
      <c r="E22" s="28"/>
      <c r="F22" s="28"/>
      <c r="G22" s="28">
        <v>1</v>
      </c>
      <c r="H22" s="28"/>
      <c r="I22" s="28"/>
      <c r="J22" s="33" t="s">
        <v>111</v>
      </c>
      <c r="K22" s="33" t="s">
        <v>109</v>
      </c>
      <c r="L22" s="28" t="s">
        <v>20</v>
      </c>
      <c r="M22" s="28" t="s">
        <v>20</v>
      </c>
      <c r="N22" s="28" t="s">
        <v>25</v>
      </c>
      <c r="O22" s="28" t="s">
        <v>25</v>
      </c>
      <c r="P22" s="28" t="s">
        <v>25</v>
      </c>
      <c r="Q22" s="28" t="s">
        <v>27</v>
      </c>
      <c r="R22" s="28" t="s">
        <v>20</v>
      </c>
      <c r="S22" s="28" t="s">
        <v>20</v>
      </c>
      <c r="U22" s="137" t="s">
        <v>37</v>
      </c>
      <c r="V22" s="12" t="s">
        <v>20</v>
      </c>
      <c r="W22" s="14">
        <f>+COUNTIF(M5:M65,"Si")</f>
        <v>21</v>
      </c>
      <c r="X22" s="125" t="s">
        <v>118</v>
      </c>
      <c r="Y22" s="48" t="s">
        <v>114</v>
      </c>
      <c r="Z22" s="49">
        <f>COUNTIFS($C$5:$C$65,"M",$M$5:$M$65,"Si")</f>
        <v>11</v>
      </c>
      <c r="AA22" s="125" t="s">
        <v>117</v>
      </c>
      <c r="AB22" s="48" t="s">
        <v>114</v>
      </c>
      <c r="AC22" s="55">
        <f>COUNTIFS($C$5:$C$65,"M",$M$5:$M$65,"No")</f>
        <v>7</v>
      </c>
      <c r="AD22" s="132" t="s">
        <v>118</v>
      </c>
      <c r="AE22" s="61" t="s">
        <v>4</v>
      </c>
      <c r="AF22" s="48">
        <f>COUNTIFS($D$5:$D$65,"1",$M$5:$M$65,"Si")</f>
        <v>5</v>
      </c>
      <c r="AG22" s="61" t="s">
        <v>7</v>
      </c>
      <c r="AH22" s="48">
        <f>COUNTIFS($G$5:$G$65,"1",$M$5:$M$65,"Si")</f>
        <v>5</v>
      </c>
      <c r="AI22" s="61" t="s">
        <v>29</v>
      </c>
      <c r="AJ22" s="49">
        <f>COUNTIFS($I$5:$I$65,"Blanco",$M$5:$M$65,"Si")</f>
        <v>0</v>
      </c>
      <c r="AK22" s="50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x14ac:dyDescent="0.25">
      <c r="A23" s="3">
        <v>19</v>
      </c>
      <c r="B23" s="29">
        <v>42937</v>
      </c>
      <c r="C23" s="28" t="s">
        <v>30</v>
      </c>
      <c r="D23" s="28"/>
      <c r="E23" s="28"/>
      <c r="F23" s="28"/>
      <c r="G23" s="28"/>
      <c r="H23" s="28">
        <v>1</v>
      </c>
      <c r="I23" s="28"/>
      <c r="J23" s="33" t="s">
        <v>111</v>
      </c>
      <c r="K23" s="33" t="s">
        <v>109</v>
      </c>
      <c r="L23" s="28" t="s">
        <v>25</v>
      </c>
      <c r="M23" s="28" t="s">
        <v>25</v>
      </c>
      <c r="N23" s="28" t="s">
        <v>20</v>
      </c>
      <c r="O23" s="28" t="s">
        <v>25</v>
      </c>
      <c r="P23" s="28" t="s">
        <v>25</v>
      </c>
      <c r="Q23" s="28" t="s">
        <v>27</v>
      </c>
      <c r="R23" s="28" t="s">
        <v>20</v>
      </c>
      <c r="S23" s="28" t="s">
        <v>25</v>
      </c>
      <c r="U23" s="109"/>
      <c r="V23" s="9" t="s">
        <v>25</v>
      </c>
      <c r="W23" s="15">
        <f>+COUNTIF(M5:M65,"No")</f>
        <v>13</v>
      </c>
      <c r="X23" s="126"/>
      <c r="Y23" s="6" t="s">
        <v>115</v>
      </c>
      <c r="Z23" s="51">
        <f>COUNTIFS($C$5:$C$65,"F",$M$5:$M$65,"Si")</f>
        <v>10</v>
      </c>
      <c r="AA23" s="126"/>
      <c r="AB23" s="6" t="s">
        <v>115</v>
      </c>
      <c r="AC23" s="57">
        <f>COUNTIFS($C$5:$C$65,"F",$M$5:$M$65,"No")</f>
        <v>4</v>
      </c>
      <c r="AD23" s="126"/>
      <c r="AE23" s="6" t="s">
        <v>5</v>
      </c>
      <c r="AF23" s="6">
        <f>COUNTIFS($E$5:$E$65,"1",$M$5:$M$65,"Si")</f>
        <v>3</v>
      </c>
      <c r="AG23" s="39" t="s">
        <v>8</v>
      </c>
      <c r="AH23" s="6">
        <f>COUNTIFS($H$5:$H$65,"1",$M$5:$M$65,"Si")</f>
        <v>0</v>
      </c>
      <c r="AI23" s="6"/>
      <c r="AJ23" s="51"/>
      <c r="AK23" s="50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5.75" thickBot="1" x14ac:dyDescent="0.3">
      <c r="A24" s="3">
        <v>20</v>
      </c>
      <c r="B24" s="29">
        <v>42937</v>
      </c>
      <c r="C24" s="28" t="s">
        <v>23</v>
      </c>
      <c r="D24" s="28"/>
      <c r="E24" s="28">
        <v>1</v>
      </c>
      <c r="F24" s="28"/>
      <c r="G24" s="28"/>
      <c r="H24" s="28"/>
      <c r="I24" s="28"/>
      <c r="J24" s="33" t="s">
        <v>111</v>
      </c>
      <c r="K24" s="33" t="s">
        <v>109</v>
      </c>
      <c r="L24" s="28" t="s">
        <v>20</v>
      </c>
      <c r="M24" s="28" t="s">
        <v>20</v>
      </c>
      <c r="N24" s="28" t="s">
        <v>20</v>
      </c>
      <c r="O24" s="28" t="s">
        <v>25</v>
      </c>
      <c r="P24" s="28" t="s">
        <v>20</v>
      </c>
      <c r="Q24" s="28" t="s">
        <v>27</v>
      </c>
      <c r="R24" s="28" t="s">
        <v>20</v>
      </c>
      <c r="S24" s="28" t="s">
        <v>25</v>
      </c>
      <c r="U24" s="110"/>
      <c r="V24" s="13" t="s">
        <v>29</v>
      </c>
      <c r="W24" s="16">
        <f>+COUNTIF(M5:M65,"Blanco")</f>
        <v>0</v>
      </c>
      <c r="X24" s="127"/>
      <c r="Y24" s="26" t="s">
        <v>29</v>
      </c>
      <c r="Z24" s="52">
        <f>COUNTIFS($C$5:$C$65,"Blanco",$M$5:$M$65,"Si")</f>
        <v>0</v>
      </c>
      <c r="AA24" s="127"/>
      <c r="AB24" s="26" t="s">
        <v>29</v>
      </c>
      <c r="AC24" s="58">
        <f>COUNTIFS($C$5:$C$65,"Blanco",$M$5:$M$65,"No")</f>
        <v>2</v>
      </c>
      <c r="AD24" s="127"/>
      <c r="AE24" s="26" t="s">
        <v>6</v>
      </c>
      <c r="AF24" s="26">
        <f>COUNTIFS($F$5:$F$65,"1",$M$5:$M$65,"Si")</f>
        <v>4</v>
      </c>
      <c r="AG24" s="26" t="s">
        <v>9</v>
      </c>
      <c r="AH24" s="26">
        <f>COUNTIFS($I$5:$I$65,"1",$M$5:$M$65,"Si")</f>
        <v>4</v>
      </c>
      <c r="AI24" s="26"/>
      <c r="AJ24" s="52"/>
      <c r="AK24" s="50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x14ac:dyDescent="0.25">
      <c r="A25" s="3">
        <v>21</v>
      </c>
      <c r="B25" s="29">
        <v>42937</v>
      </c>
      <c r="C25" s="28" t="s">
        <v>30</v>
      </c>
      <c r="D25" s="28"/>
      <c r="E25" s="28"/>
      <c r="F25" s="28"/>
      <c r="G25" s="28"/>
      <c r="H25" s="28">
        <v>1</v>
      </c>
      <c r="I25" s="28"/>
      <c r="J25" s="33" t="s">
        <v>111</v>
      </c>
      <c r="K25" s="33" t="s">
        <v>110</v>
      </c>
      <c r="L25" s="28" t="s">
        <v>25</v>
      </c>
      <c r="M25" s="28" t="s">
        <v>25</v>
      </c>
      <c r="N25" s="28" t="s">
        <v>25</v>
      </c>
      <c r="O25" s="28" t="s">
        <v>25</v>
      </c>
      <c r="P25" s="28" t="s">
        <v>25</v>
      </c>
      <c r="Q25" s="28" t="s">
        <v>27</v>
      </c>
      <c r="R25" s="28" t="s">
        <v>25</v>
      </c>
      <c r="S25" s="28" t="s">
        <v>25</v>
      </c>
      <c r="U25" s="137" t="s">
        <v>38</v>
      </c>
      <c r="V25" s="12" t="s">
        <v>20</v>
      </c>
      <c r="W25" s="14">
        <f>+COUNTIF(N5:N65,"Si")</f>
        <v>10</v>
      </c>
      <c r="X25" s="125" t="s">
        <v>118</v>
      </c>
      <c r="Y25" s="48" t="s">
        <v>114</v>
      </c>
      <c r="Z25" s="49">
        <f>COUNTIFS($C$5:$C$65,"M",$N$5:$N$65,"Si")</f>
        <v>3</v>
      </c>
      <c r="AA25" s="125" t="s">
        <v>117</v>
      </c>
      <c r="AB25" s="48" t="s">
        <v>114</v>
      </c>
      <c r="AC25" s="55">
        <f>COUNTIFS($C$5:$C$65,"M",$N$5:$N$65,"No")</f>
        <v>15</v>
      </c>
      <c r="AD25" s="125" t="s">
        <v>117</v>
      </c>
      <c r="AE25" s="48" t="s">
        <v>4</v>
      </c>
      <c r="AF25" s="48">
        <f>COUNTIFS($D$5:$D$65,"1",$N$5:$N$65,"No")</f>
        <v>7</v>
      </c>
      <c r="AG25" s="48" t="s">
        <v>7</v>
      </c>
      <c r="AH25" s="48">
        <f>COUNTIFS($G$5:$G$65,"1",$N$5:$N$65,"No")</f>
        <v>4</v>
      </c>
      <c r="AI25" s="48" t="s">
        <v>29</v>
      </c>
      <c r="AJ25" s="49">
        <f>COUNTIFS($I$5:$I$65,"Blanco",$N$5:$N$65,"No")</f>
        <v>0</v>
      </c>
      <c r="AK25" s="50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x14ac:dyDescent="0.25">
      <c r="A26" s="3">
        <v>22</v>
      </c>
      <c r="B26" s="29">
        <v>42937</v>
      </c>
      <c r="C26" s="28" t="s">
        <v>30</v>
      </c>
      <c r="D26" s="28"/>
      <c r="E26" s="28">
        <v>1</v>
      </c>
      <c r="F26" s="28"/>
      <c r="G26" s="28"/>
      <c r="H26" s="28"/>
      <c r="I26" s="28"/>
      <c r="J26" s="33" t="s">
        <v>111</v>
      </c>
      <c r="K26" s="33" t="s">
        <v>110</v>
      </c>
      <c r="L26" s="28" t="s">
        <v>25</v>
      </c>
      <c r="M26" s="28" t="s">
        <v>25</v>
      </c>
      <c r="N26" s="28" t="s">
        <v>25</v>
      </c>
      <c r="O26" s="28" t="s">
        <v>25</v>
      </c>
      <c r="P26" s="28" t="s">
        <v>25</v>
      </c>
      <c r="Q26" s="28" t="s">
        <v>34</v>
      </c>
      <c r="R26" s="28" t="s">
        <v>25</v>
      </c>
      <c r="S26" s="28" t="s">
        <v>25</v>
      </c>
      <c r="U26" s="109"/>
      <c r="V26" s="9" t="s">
        <v>25</v>
      </c>
      <c r="W26" s="15">
        <f>+COUNTIF(N5:N65,"No")</f>
        <v>24</v>
      </c>
      <c r="X26" s="126"/>
      <c r="Y26" s="6" t="s">
        <v>115</v>
      </c>
      <c r="Z26" s="51">
        <f>COUNTIFS($C$5:$C$65,"F",$N$5:$N$65,"Si")</f>
        <v>7</v>
      </c>
      <c r="AA26" s="126"/>
      <c r="AB26" s="6" t="s">
        <v>115</v>
      </c>
      <c r="AC26" s="57">
        <f>COUNTIFS($C$5:$C$65,"F",$N$5:$N$65,"No")</f>
        <v>7</v>
      </c>
      <c r="AD26" s="126"/>
      <c r="AE26" s="6" t="s">
        <v>5</v>
      </c>
      <c r="AF26" s="6">
        <f>COUNTIFS($E$5:$E$65,"1",$N$5:$N$65,"No")</f>
        <v>5</v>
      </c>
      <c r="AG26" s="39" t="s">
        <v>8</v>
      </c>
      <c r="AH26" s="6">
        <f>COUNTIFS($H$5:$H$65,"1",$N$5:$N$65,"No")</f>
        <v>1</v>
      </c>
      <c r="AI26" s="6"/>
      <c r="AJ26" s="51"/>
      <c r="AK26" s="50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5.75" thickBot="1" x14ac:dyDescent="0.3">
      <c r="A27" s="3">
        <v>23</v>
      </c>
      <c r="B27" s="29">
        <v>42937</v>
      </c>
      <c r="C27" s="28" t="s">
        <v>30</v>
      </c>
      <c r="D27" s="28"/>
      <c r="E27" s="28">
        <v>1</v>
      </c>
      <c r="F27" s="28"/>
      <c r="G27" s="28"/>
      <c r="H27" s="28"/>
      <c r="I27" s="28"/>
      <c r="J27" s="33" t="s">
        <v>111</v>
      </c>
      <c r="K27" s="33" t="s">
        <v>110</v>
      </c>
      <c r="L27" s="28" t="s">
        <v>20</v>
      </c>
      <c r="M27" s="28" t="s">
        <v>25</v>
      </c>
      <c r="N27" s="28" t="s">
        <v>25</v>
      </c>
      <c r="O27" s="28" t="s">
        <v>25</v>
      </c>
      <c r="P27" s="28" t="s">
        <v>25</v>
      </c>
      <c r="Q27" s="28" t="s">
        <v>27</v>
      </c>
      <c r="R27" s="28" t="s">
        <v>25</v>
      </c>
      <c r="S27" s="28" t="s">
        <v>25</v>
      </c>
      <c r="U27" s="110"/>
      <c r="V27" s="13" t="s">
        <v>29</v>
      </c>
      <c r="W27" s="16">
        <f>+COUNTIF(N5:N65,"Blanco")</f>
        <v>0</v>
      </c>
      <c r="X27" s="127"/>
      <c r="Y27" s="26" t="s">
        <v>29</v>
      </c>
      <c r="Z27" s="52">
        <f>COUNTIFS($C$5:$C$65,"Blanco",$N$5:N65,"Si")</f>
        <v>0</v>
      </c>
      <c r="AA27" s="127"/>
      <c r="AB27" s="26" t="s">
        <v>29</v>
      </c>
      <c r="AC27" s="58">
        <f>COUNTIFS($C$5:$C$65,"Blanco",$N$5:$N$65,"No")</f>
        <v>2</v>
      </c>
      <c r="AD27" s="127"/>
      <c r="AE27" s="26" t="s">
        <v>6</v>
      </c>
      <c r="AF27" s="26">
        <f>COUNTIFS($F$5:$F$65,"1",$N$5:$N$65,"No")</f>
        <v>1</v>
      </c>
      <c r="AG27" s="26" t="s">
        <v>9</v>
      </c>
      <c r="AH27" s="26">
        <f>COUNTIFS($I$5:$I$65,"1",$N$5:$N$65,"No")</f>
        <v>6</v>
      </c>
      <c r="AI27" s="26"/>
      <c r="AJ27" s="52"/>
      <c r="AK27" s="50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x14ac:dyDescent="0.25">
      <c r="A28" s="3">
        <v>24</v>
      </c>
      <c r="B28" s="29">
        <v>42937</v>
      </c>
      <c r="C28" s="28" t="s">
        <v>30</v>
      </c>
      <c r="D28" s="28"/>
      <c r="E28" s="28"/>
      <c r="F28" s="28"/>
      <c r="G28" s="28"/>
      <c r="H28" s="28"/>
      <c r="I28" s="28">
        <v>1</v>
      </c>
      <c r="J28" s="33" t="s">
        <v>111</v>
      </c>
      <c r="K28" s="33" t="s">
        <v>110</v>
      </c>
      <c r="L28" s="28" t="s">
        <v>25</v>
      </c>
      <c r="M28" s="28" t="s">
        <v>20</v>
      </c>
      <c r="N28" s="28" t="s">
        <v>25</v>
      </c>
      <c r="O28" s="28" t="s">
        <v>25</v>
      </c>
      <c r="P28" s="28" t="s">
        <v>25</v>
      </c>
      <c r="Q28" s="28" t="s">
        <v>27</v>
      </c>
      <c r="R28" s="28" t="s">
        <v>25</v>
      </c>
      <c r="S28" s="28" t="s">
        <v>25</v>
      </c>
      <c r="U28" s="137" t="s">
        <v>39</v>
      </c>
      <c r="V28" s="12" t="s">
        <v>20</v>
      </c>
      <c r="W28" s="14">
        <f>+COUNTIF(O5:O65,"Si")</f>
        <v>5</v>
      </c>
      <c r="X28" s="125" t="s">
        <v>118</v>
      </c>
      <c r="Y28" s="48" t="s">
        <v>114</v>
      </c>
      <c r="Z28" s="49">
        <f>COUNTIFS($C$5:$C$65,"M",$O$5:O65,"Si")</f>
        <v>1</v>
      </c>
      <c r="AA28" s="128" t="s">
        <v>117</v>
      </c>
      <c r="AB28" s="19" t="s">
        <v>114</v>
      </c>
      <c r="AC28" s="65">
        <f>COUNTIFS($C$5:$C$65,"M",$O$5:$O$65,"No")</f>
        <v>17</v>
      </c>
      <c r="AD28" s="128" t="s">
        <v>117</v>
      </c>
      <c r="AE28" s="19" t="s">
        <v>4</v>
      </c>
      <c r="AF28" s="19">
        <f>COUNTIFS($D$5:$D$65,"1",$O$5:$O$65,"No")</f>
        <v>7</v>
      </c>
      <c r="AG28" s="19" t="s">
        <v>7</v>
      </c>
      <c r="AH28" s="19">
        <f>COUNTIFS($G$5:$G$65,"1",$O$5:$O$65,"No")</f>
        <v>5</v>
      </c>
      <c r="AI28" s="19" t="s">
        <v>29</v>
      </c>
      <c r="AJ28" s="66">
        <f>COUNTIFS($I$5:$I$65,"Blanco",$O$5:$O$65,"No")</f>
        <v>1</v>
      </c>
      <c r="AK28" s="50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x14ac:dyDescent="0.25">
      <c r="A29" s="3">
        <v>25</v>
      </c>
      <c r="B29" s="29">
        <v>42937</v>
      </c>
      <c r="C29" s="28" t="s">
        <v>30</v>
      </c>
      <c r="D29" s="28"/>
      <c r="E29" s="28"/>
      <c r="F29" s="28">
        <v>1</v>
      </c>
      <c r="G29" s="28"/>
      <c r="H29" s="28"/>
      <c r="I29" s="28"/>
      <c r="J29" s="33" t="s">
        <v>111</v>
      </c>
      <c r="K29" s="33" t="s">
        <v>110</v>
      </c>
      <c r="L29" s="28" t="s">
        <v>20</v>
      </c>
      <c r="M29" s="28" t="s">
        <v>20</v>
      </c>
      <c r="N29" s="28" t="s">
        <v>20</v>
      </c>
      <c r="O29" s="28" t="s">
        <v>25</v>
      </c>
      <c r="P29" s="28" t="s">
        <v>25</v>
      </c>
      <c r="Q29" s="28" t="s">
        <v>26</v>
      </c>
      <c r="R29" s="28" t="s">
        <v>20</v>
      </c>
      <c r="S29" s="28" t="s">
        <v>25</v>
      </c>
      <c r="U29" s="109"/>
      <c r="V29" s="9" t="s">
        <v>25</v>
      </c>
      <c r="W29" s="15">
        <f>+COUNTIF(O5:O65,"No")</f>
        <v>29</v>
      </c>
      <c r="X29" s="126"/>
      <c r="Y29" s="6" t="s">
        <v>115</v>
      </c>
      <c r="Z29" s="51">
        <f>COUNTIFS($C$5:$C$65,"F",$O$5:$O$65,"Si")</f>
        <v>4</v>
      </c>
      <c r="AA29" s="129"/>
      <c r="AB29" s="35" t="s">
        <v>115</v>
      </c>
      <c r="AC29" s="67">
        <f>COUNTIFS($C$2:$C$65,"F",$O$2:$O$65,"No")</f>
        <v>10</v>
      </c>
      <c r="AD29" s="129"/>
      <c r="AE29" s="35" t="s">
        <v>5</v>
      </c>
      <c r="AF29" s="35">
        <f>COUNTIFS($E$5:$E$65,"1",$O$5:$O$65,"No")</f>
        <v>6</v>
      </c>
      <c r="AG29" s="9" t="s">
        <v>8</v>
      </c>
      <c r="AH29" s="35">
        <f>COUNTIFS($H$5:$H$65,"1",$O$5:$O$65,"No")</f>
        <v>2</v>
      </c>
      <c r="AI29" s="35"/>
      <c r="AJ29" s="68"/>
      <c r="AK29" s="50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5.75" thickBot="1" x14ac:dyDescent="0.3">
      <c r="A30" s="3">
        <v>26</v>
      </c>
      <c r="B30" s="29">
        <v>42937</v>
      </c>
      <c r="C30" s="28" t="s">
        <v>23</v>
      </c>
      <c r="D30" s="28"/>
      <c r="E30" s="28"/>
      <c r="F30" s="28"/>
      <c r="G30" s="28"/>
      <c r="H30" s="28"/>
      <c r="I30" s="28" t="s">
        <v>29</v>
      </c>
      <c r="J30" s="33" t="s">
        <v>111</v>
      </c>
      <c r="K30" s="33" t="s">
        <v>110</v>
      </c>
      <c r="L30" s="28" t="s">
        <v>25</v>
      </c>
      <c r="M30" s="28" t="s">
        <v>25</v>
      </c>
      <c r="N30" s="28" t="s">
        <v>20</v>
      </c>
      <c r="O30" s="28" t="s">
        <v>25</v>
      </c>
      <c r="P30" s="28" t="s">
        <v>25</v>
      </c>
      <c r="Q30" s="28" t="s">
        <v>27</v>
      </c>
      <c r="R30" s="28" t="s">
        <v>20</v>
      </c>
      <c r="S30" s="28" t="s">
        <v>25</v>
      </c>
      <c r="U30" s="110"/>
      <c r="V30" s="13" t="s">
        <v>29</v>
      </c>
      <c r="W30" s="16">
        <f>+COUNTIF(O5:O65,"Blanco")</f>
        <v>0</v>
      </c>
      <c r="X30" s="127"/>
      <c r="Y30" s="26" t="s">
        <v>29</v>
      </c>
      <c r="Z30" s="52">
        <f>COUNTIFS($C$5:$C$65,"Blanco",$O$5:$O$65,"Si")</f>
        <v>0</v>
      </c>
      <c r="AA30" s="130"/>
      <c r="AB30" s="27" t="s">
        <v>29</v>
      </c>
      <c r="AC30" s="69">
        <f>COUNTIFS($C$2:$C$65,"Blanco",$O$2:$O$65,"No")</f>
        <v>2</v>
      </c>
      <c r="AD30" s="130"/>
      <c r="AE30" s="27" t="s">
        <v>6</v>
      </c>
      <c r="AF30" s="27">
        <f>COUNTIFS($F$5:$F$65,"1",$O$5:$O$65,"No")</f>
        <v>2</v>
      </c>
      <c r="AG30" s="27" t="s">
        <v>9</v>
      </c>
      <c r="AH30" s="27">
        <f>COUNTIFS($I$5:$I$65,"1",$O$5:$O$65,"No")</f>
        <v>6</v>
      </c>
      <c r="AI30" s="27"/>
      <c r="AJ30" s="70"/>
      <c r="AK30" s="50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x14ac:dyDescent="0.25">
      <c r="A31" s="3">
        <v>27</v>
      </c>
      <c r="B31" s="29">
        <v>42937</v>
      </c>
      <c r="C31" s="28" t="s">
        <v>23</v>
      </c>
      <c r="D31" s="28"/>
      <c r="E31" s="28"/>
      <c r="F31" s="28"/>
      <c r="G31" s="28">
        <v>1</v>
      </c>
      <c r="H31" s="28"/>
      <c r="I31" s="28"/>
      <c r="J31" s="33" t="s">
        <v>111</v>
      </c>
      <c r="K31" s="33" t="s">
        <v>110</v>
      </c>
      <c r="L31" s="28" t="s">
        <v>20</v>
      </c>
      <c r="M31" s="28" t="s">
        <v>20</v>
      </c>
      <c r="N31" s="28" t="s">
        <v>25</v>
      </c>
      <c r="O31" s="28" t="s">
        <v>25</v>
      </c>
      <c r="P31" s="28" t="s">
        <v>25</v>
      </c>
      <c r="Q31" s="28" t="s">
        <v>27</v>
      </c>
      <c r="R31" s="28" t="s">
        <v>20</v>
      </c>
      <c r="S31" s="28" t="s">
        <v>20</v>
      </c>
      <c r="U31" s="137" t="s">
        <v>40</v>
      </c>
      <c r="V31" s="12" t="s">
        <v>20</v>
      </c>
      <c r="W31" s="14">
        <f>+COUNTIF(P5:P65,"Si")</f>
        <v>4</v>
      </c>
      <c r="X31" s="125" t="s">
        <v>118</v>
      </c>
      <c r="Y31" s="48" t="s">
        <v>114</v>
      </c>
      <c r="Z31" s="49">
        <f>COUNTIFS($C$5:$C$65,"M",$P$5:$P$65,"Si")</f>
        <v>1</v>
      </c>
      <c r="AA31" s="128" t="s">
        <v>117</v>
      </c>
      <c r="AB31" s="19" t="s">
        <v>114</v>
      </c>
      <c r="AC31" s="65">
        <f>COUNTIFS($C$5:$C$65,"M",$P$5:$P$65,"No")</f>
        <v>17</v>
      </c>
      <c r="AD31" s="128" t="s">
        <v>117</v>
      </c>
      <c r="AE31" s="19" t="s">
        <v>4</v>
      </c>
      <c r="AF31" s="19">
        <f>COUNTIFS($D$5:$D$65,"1",$P$5:$P$65,"No")</f>
        <v>8</v>
      </c>
      <c r="AG31" s="19" t="s">
        <v>7</v>
      </c>
      <c r="AH31" s="19">
        <f>COUNTIFS($G$5:$G$65,"1",$P$5:$P$65,"No")</f>
        <v>4</v>
      </c>
      <c r="AI31" s="19" t="s">
        <v>29</v>
      </c>
      <c r="AJ31" s="66">
        <f>COUNTIFS($I$5:$I$65,"Blanco",$P$5:$P$65,"No")</f>
        <v>1</v>
      </c>
      <c r="AK31" s="50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x14ac:dyDescent="0.25">
      <c r="A32" s="3">
        <v>28</v>
      </c>
      <c r="B32" s="29">
        <v>42937</v>
      </c>
      <c r="C32" s="28" t="s">
        <v>30</v>
      </c>
      <c r="D32" s="28"/>
      <c r="E32" s="28"/>
      <c r="F32" s="28"/>
      <c r="G32" s="28"/>
      <c r="H32" s="28"/>
      <c r="I32" s="28">
        <v>1</v>
      </c>
      <c r="J32" s="33" t="s">
        <v>111</v>
      </c>
      <c r="K32" s="33" t="s">
        <v>110</v>
      </c>
      <c r="L32" s="28" t="s">
        <v>25</v>
      </c>
      <c r="M32" s="28" t="s">
        <v>20</v>
      </c>
      <c r="N32" s="28" t="s">
        <v>25</v>
      </c>
      <c r="O32" s="28" t="s">
        <v>25</v>
      </c>
      <c r="P32" s="28" t="s">
        <v>25</v>
      </c>
      <c r="Q32" s="28" t="s">
        <v>27</v>
      </c>
      <c r="R32" s="28" t="s">
        <v>20</v>
      </c>
      <c r="S32" s="28" t="s">
        <v>20</v>
      </c>
      <c r="U32" s="109"/>
      <c r="V32" s="9" t="s">
        <v>25</v>
      </c>
      <c r="W32" s="15">
        <f>+COUNTIF(P5:P65,"No")</f>
        <v>30</v>
      </c>
      <c r="X32" s="126"/>
      <c r="Y32" s="6" t="s">
        <v>115</v>
      </c>
      <c r="Z32" s="51">
        <f>COUNTIFS($C$5:$C$65,"F",$P$5:$P$65,"Si")</f>
        <v>3</v>
      </c>
      <c r="AA32" s="129"/>
      <c r="AB32" s="35" t="s">
        <v>115</v>
      </c>
      <c r="AC32" s="67">
        <f>COUNTIFS($C$5:$C$65,"F",$P$5:$P$65,"NO")</f>
        <v>11</v>
      </c>
      <c r="AD32" s="129"/>
      <c r="AE32" s="35" t="s">
        <v>5</v>
      </c>
      <c r="AF32" s="35">
        <f>COUNTIFS($E$5:$E$65,"1",$P$5:$P$65,"No")</f>
        <v>5</v>
      </c>
      <c r="AG32" s="9" t="s">
        <v>8</v>
      </c>
      <c r="AH32" s="35">
        <f>COUNTIFS($H$5:$H$65,"1",$P$5:$P$65,"No")</f>
        <v>2</v>
      </c>
      <c r="AI32" s="35"/>
      <c r="AJ32" s="68"/>
      <c r="AK32" s="50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5.75" thickBot="1" x14ac:dyDescent="0.3">
      <c r="A33" s="3">
        <v>29</v>
      </c>
      <c r="B33" s="29">
        <v>42937</v>
      </c>
      <c r="C33" s="28" t="s">
        <v>30</v>
      </c>
      <c r="D33" s="28"/>
      <c r="E33" s="28">
        <v>1</v>
      </c>
      <c r="F33" s="28"/>
      <c r="G33" s="28"/>
      <c r="H33" s="28"/>
      <c r="I33" s="28"/>
      <c r="J33" s="33" t="s">
        <v>111</v>
      </c>
      <c r="K33" s="33" t="s">
        <v>110</v>
      </c>
      <c r="L33" s="28" t="s">
        <v>25</v>
      </c>
      <c r="M33" s="28" t="s">
        <v>25</v>
      </c>
      <c r="N33" s="28" t="s">
        <v>25</v>
      </c>
      <c r="O33" s="28" t="s">
        <v>25</v>
      </c>
      <c r="P33" s="28" t="s">
        <v>25</v>
      </c>
      <c r="Q33" s="28" t="s">
        <v>27</v>
      </c>
      <c r="R33" s="28" t="s">
        <v>25</v>
      </c>
      <c r="S33" s="28" t="s">
        <v>25</v>
      </c>
      <c r="U33" s="110"/>
      <c r="V33" s="13" t="s">
        <v>29</v>
      </c>
      <c r="W33" s="16">
        <f>+COUNTIF(P5:P65,"Blanco")</f>
        <v>0</v>
      </c>
      <c r="X33" s="154"/>
      <c r="Y33" s="34" t="s">
        <v>29</v>
      </c>
      <c r="Z33" s="53">
        <f>COUNTIFS($C$5:$C$65,"Blanco",$P$5:$P$65,"Si")</f>
        <v>0</v>
      </c>
      <c r="AA33" s="153"/>
      <c r="AB33" s="71" t="s">
        <v>29</v>
      </c>
      <c r="AC33" s="72">
        <f>COUNTIFS($C$5:$C$65,"Blanco",$P$5:$P$65,"No")</f>
        <v>2</v>
      </c>
      <c r="AD33" s="130"/>
      <c r="AE33" s="27" t="s">
        <v>6</v>
      </c>
      <c r="AF33" s="27">
        <f>COUNTIFS($F$5:$F$65,"1",$P$5:$P$65,"No")</f>
        <v>4</v>
      </c>
      <c r="AG33" s="71" t="s">
        <v>9</v>
      </c>
      <c r="AH33" s="71">
        <f>COUNTIFS($I$5:$I$65,"1",$P$5:$P$65,"No")</f>
        <v>6</v>
      </c>
      <c r="AI33" s="71"/>
      <c r="AJ33" s="73"/>
      <c r="AK33" s="5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</row>
    <row r="34" spans="1:50" x14ac:dyDescent="0.25">
      <c r="A34" s="3">
        <v>30</v>
      </c>
      <c r="B34" s="29">
        <v>42937</v>
      </c>
      <c r="C34" s="28" t="s">
        <v>23</v>
      </c>
      <c r="D34" s="28"/>
      <c r="E34" s="28"/>
      <c r="F34" s="28"/>
      <c r="G34" s="28">
        <v>1</v>
      </c>
      <c r="H34" s="28"/>
      <c r="I34" s="28"/>
      <c r="J34" s="33" t="s">
        <v>111</v>
      </c>
      <c r="K34" s="33" t="s">
        <v>110</v>
      </c>
      <c r="L34" s="28" t="s">
        <v>25</v>
      </c>
      <c r="M34" s="28" t="s">
        <v>25</v>
      </c>
      <c r="N34" s="28" t="s">
        <v>25</v>
      </c>
      <c r="O34" s="28" t="s">
        <v>25</v>
      </c>
      <c r="P34" s="28" t="s">
        <v>25</v>
      </c>
      <c r="Q34" s="28" t="s">
        <v>27</v>
      </c>
      <c r="R34" s="28" t="s">
        <v>20</v>
      </c>
      <c r="S34" s="28" t="s">
        <v>20</v>
      </c>
      <c r="U34" s="137" t="s">
        <v>41</v>
      </c>
      <c r="V34" s="12" t="s">
        <v>27</v>
      </c>
      <c r="W34" s="14">
        <f>+COUNTIF(Q5:Q65,"Elevada")</f>
        <v>21</v>
      </c>
      <c r="X34" s="125" t="s">
        <v>116</v>
      </c>
      <c r="Y34" s="48" t="s">
        <v>114</v>
      </c>
      <c r="Z34" s="49">
        <f>COUNTIFS($C$5:$C$65,"M",$Q$5:$Q$65,"Elevada")</f>
        <v>12</v>
      </c>
      <c r="AA34" s="125" t="s">
        <v>119</v>
      </c>
      <c r="AB34" s="48" t="s">
        <v>114</v>
      </c>
      <c r="AC34" s="49">
        <f>COUNTIFS($C$5:$C$65,"M",$Q$5:$Q$65,"Alguna")</f>
        <v>3</v>
      </c>
      <c r="AD34" s="125" t="s">
        <v>120</v>
      </c>
      <c r="AE34" s="48" t="s">
        <v>114</v>
      </c>
      <c r="AF34" s="49">
        <f>COUNTIFS($C$5:$C$65,"M",$Q$5:$Q$65,"Poca")</f>
        <v>2</v>
      </c>
      <c r="AG34" s="125" t="s">
        <v>121</v>
      </c>
      <c r="AH34" s="48" t="s">
        <v>114</v>
      </c>
      <c r="AI34" s="55">
        <f>COUNTIFS($C$5:$C$65,"M",$Q$5:$Q$65,"Ninguna")</f>
        <v>1</v>
      </c>
      <c r="AJ34" s="55"/>
      <c r="AK34" s="125" t="s">
        <v>122</v>
      </c>
      <c r="AL34" s="56" t="s">
        <v>4</v>
      </c>
      <c r="AM34" s="48">
        <f>COUNTIFS($D$5:$D$65,"1",$Q$5:$Q$65,"Elevada")</f>
        <v>5</v>
      </c>
      <c r="AN34" s="48" t="s">
        <v>7</v>
      </c>
      <c r="AO34" s="48">
        <f>COUNTIFS($G$5:$G$65,"1",$Q$5:$Q$65,"Elevada")</f>
        <v>5</v>
      </c>
      <c r="AP34" s="48" t="s">
        <v>29</v>
      </c>
      <c r="AQ34" s="49">
        <f>COUNTIFS($I$5:$I$65,"Blanco",$Q$5:$Q$65,"Elevada")</f>
        <v>1</v>
      </c>
      <c r="AR34" s="125" t="s">
        <v>119</v>
      </c>
      <c r="AS34" s="48" t="s">
        <v>4</v>
      </c>
      <c r="AT34" s="48">
        <f>COUNTIFS($D$5:$D$65,"1",$Q$5:$Q$65,"Alguna")</f>
        <v>4</v>
      </c>
      <c r="AU34" s="48" t="s">
        <v>7</v>
      </c>
      <c r="AV34" s="48">
        <f>COUNTIFS($G$5:$G$65,"1",$Q$5:$Q$65,"Alguna")</f>
        <v>0</v>
      </c>
      <c r="AW34" s="48" t="s">
        <v>29</v>
      </c>
      <c r="AX34" s="49">
        <f>COUNTIFS($I$5:$I$65,"Blanco",$Q$5:$Q$65,"Alguna")</f>
        <v>0</v>
      </c>
    </row>
    <row r="35" spans="1:50" x14ac:dyDescent="0.25">
      <c r="A35" s="3">
        <v>31</v>
      </c>
      <c r="B35" s="29">
        <v>42937</v>
      </c>
      <c r="C35" s="28" t="s">
        <v>30</v>
      </c>
      <c r="D35" s="28">
        <v>1</v>
      </c>
      <c r="E35" s="28"/>
      <c r="F35" s="28"/>
      <c r="G35" s="28"/>
      <c r="H35" s="28"/>
      <c r="I35" s="28"/>
      <c r="J35" s="33" t="s">
        <v>111</v>
      </c>
      <c r="K35" s="33" t="s">
        <v>110</v>
      </c>
      <c r="L35" s="28" t="s">
        <v>25</v>
      </c>
      <c r="M35" s="28" t="s">
        <v>25</v>
      </c>
      <c r="N35" s="28" t="s">
        <v>25</v>
      </c>
      <c r="O35" s="28" t="s">
        <v>25</v>
      </c>
      <c r="P35" s="28" t="s">
        <v>25</v>
      </c>
      <c r="Q35" s="28" t="s">
        <v>27</v>
      </c>
      <c r="R35" s="28" t="s">
        <v>20</v>
      </c>
      <c r="S35" s="28" t="s">
        <v>25</v>
      </c>
      <c r="U35" s="109"/>
      <c r="V35" s="9" t="s">
        <v>28</v>
      </c>
      <c r="W35" s="15">
        <f>+COUNTIF(Q5:Q65,"Alguna")</f>
        <v>7</v>
      </c>
      <c r="X35" s="126"/>
      <c r="Y35" s="6" t="s">
        <v>115</v>
      </c>
      <c r="Z35" s="51">
        <f>COUNTIFS($C$5:$C$65,"F",$Q$5:$Q$65,"Elevada")</f>
        <v>8</v>
      </c>
      <c r="AA35" s="126"/>
      <c r="AB35" s="6" t="s">
        <v>115</v>
      </c>
      <c r="AC35" s="51">
        <f>COUNTIFS($C$5:$C$65,"F",$Q$5:$Q$65,"Alguna")</f>
        <v>3</v>
      </c>
      <c r="AD35" s="126"/>
      <c r="AE35" s="6" t="s">
        <v>115</v>
      </c>
      <c r="AF35" s="51">
        <f>COUNTIFS($C$5:$C$65,"F",$Q$5:$Q$65,"Poca")</f>
        <v>1</v>
      </c>
      <c r="AG35" s="126"/>
      <c r="AH35" s="6" t="s">
        <v>115</v>
      </c>
      <c r="AI35" s="57">
        <f>COUNTIFS($C$5:$C$65,"F",$Q$5:$Q$65,"Ninguna")</f>
        <v>2</v>
      </c>
      <c r="AJ35" s="57"/>
      <c r="AK35" s="126"/>
      <c r="AL35" s="50" t="s">
        <v>5</v>
      </c>
      <c r="AM35" s="6">
        <f>COUNTIFS($E$5:$E$65,"1",$Q$5:$Q$65,"Elevada")</f>
        <v>4</v>
      </c>
      <c r="AN35" s="39" t="s">
        <v>8</v>
      </c>
      <c r="AO35" s="6">
        <f>COUNTIFS($H$5:$H$65,"1",$Q$5:$Q$65,"Elevada")</f>
        <v>2</v>
      </c>
      <c r="AP35" s="6"/>
      <c r="AQ35" s="51"/>
      <c r="AR35" s="126"/>
      <c r="AS35" s="6" t="s">
        <v>5</v>
      </c>
      <c r="AT35" s="6">
        <f>COUNTIFS($E$5:$E$65,"1",$Q$5:$Q$65,"Alguna")</f>
        <v>1</v>
      </c>
      <c r="AU35" s="39" t="s">
        <v>8</v>
      </c>
      <c r="AV35" s="6">
        <f>COUNTIFS($H$5:$H$65,"1",$Q$5:$Q$65,"Alguna")</f>
        <v>0</v>
      </c>
      <c r="AW35" s="6"/>
      <c r="AX35" s="51"/>
    </row>
    <row r="36" spans="1:50" ht="15.75" thickBot="1" x14ac:dyDescent="0.3">
      <c r="A36" s="3">
        <v>32</v>
      </c>
      <c r="B36" s="29">
        <v>42937</v>
      </c>
      <c r="C36" s="28" t="s">
        <v>29</v>
      </c>
      <c r="D36" s="28">
        <v>1</v>
      </c>
      <c r="E36" s="28"/>
      <c r="F36" s="28"/>
      <c r="G36" s="28"/>
      <c r="H36" s="28"/>
      <c r="I36" s="28"/>
      <c r="J36" s="33" t="s">
        <v>111</v>
      </c>
      <c r="K36" s="33" t="s">
        <v>110</v>
      </c>
      <c r="L36" s="28" t="s">
        <v>20</v>
      </c>
      <c r="M36" s="28" t="s">
        <v>25</v>
      </c>
      <c r="N36" s="28" t="s">
        <v>25</v>
      </c>
      <c r="O36" s="28" t="s">
        <v>25</v>
      </c>
      <c r="P36" s="28" t="s">
        <v>25</v>
      </c>
      <c r="Q36" s="28" t="s">
        <v>27</v>
      </c>
      <c r="R36" s="28" t="s">
        <v>20</v>
      </c>
      <c r="S36" s="28" t="s">
        <v>20</v>
      </c>
      <c r="U36" s="109"/>
      <c r="V36" s="9" t="s">
        <v>26</v>
      </c>
      <c r="W36" s="15">
        <f>+COUNTIF(Q5:Q65,"Poca")</f>
        <v>3</v>
      </c>
      <c r="X36" s="127"/>
      <c r="Y36" s="26" t="s">
        <v>29</v>
      </c>
      <c r="Z36" s="52">
        <f>COUNTIFS($C$5:$C$65,"Blanco",Q5:Q65,"Elevada")</f>
        <v>1</v>
      </c>
      <c r="AA36" s="127"/>
      <c r="AB36" s="26" t="s">
        <v>29</v>
      </c>
      <c r="AC36" s="52">
        <f>COUNTIFS($C$5:$C$65,"Blanco",$Q$5:$Q$65,"Alguna")</f>
        <v>1</v>
      </c>
      <c r="AD36" s="127"/>
      <c r="AE36" s="26" t="s">
        <v>29</v>
      </c>
      <c r="AF36" s="52">
        <f>COUNTIFS($C$5:$C$65,"Blanco",$Q$5:$Q$65,"Poca")</f>
        <v>0</v>
      </c>
      <c r="AG36" s="127"/>
      <c r="AH36" s="26" t="s">
        <v>29</v>
      </c>
      <c r="AI36" s="58">
        <f>COUNTIFS($C$5:$C$65,"Blanco",$Q$5:$Q$65,"Ninguna")</f>
        <v>0</v>
      </c>
      <c r="AJ36" s="58"/>
      <c r="AK36" s="127"/>
      <c r="AL36" s="59" t="s">
        <v>6</v>
      </c>
      <c r="AM36" s="26">
        <f>COUNTIFS($F$5:$F$65,"1",$Q$5:$Q$65,"Elevada")</f>
        <v>1</v>
      </c>
      <c r="AN36" s="26" t="s">
        <v>9</v>
      </c>
      <c r="AO36" s="26">
        <f>COUNTIFS($I$5:$I$65,"1",$Q$5:$Q$65,"Elevada")</f>
        <v>3</v>
      </c>
      <c r="AP36" s="26"/>
      <c r="AQ36" s="52"/>
      <c r="AR36" s="127"/>
      <c r="AS36" s="26" t="s">
        <v>6</v>
      </c>
      <c r="AT36" s="26">
        <f>COUNTIFS($F$5:$F$65,"1",$Q$5:$Q$65,"Alguna")</f>
        <v>1</v>
      </c>
      <c r="AU36" s="26" t="s">
        <v>9</v>
      </c>
      <c r="AV36" s="26">
        <f>COUNTIFS($I$5:$I$65,"1",$Q$5:$Q$65,"Alguna")</f>
        <v>1</v>
      </c>
      <c r="AW36" s="26"/>
      <c r="AX36" s="52"/>
    </row>
    <row r="37" spans="1:50" ht="15.75" thickBot="1" x14ac:dyDescent="0.3">
      <c r="A37" s="3">
        <v>33</v>
      </c>
      <c r="B37" s="29">
        <v>42937</v>
      </c>
      <c r="C37" s="28" t="s">
        <v>30</v>
      </c>
      <c r="D37" s="28"/>
      <c r="E37" s="28">
        <v>1</v>
      </c>
      <c r="F37" s="28"/>
      <c r="G37" s="28"/>
      <c r="H37" s="28"/>
      <c r="I37" s="28"/>
      <c r="J37" s="33" t="s">
        <v>111</v>
      </c>
      <c r="K37" s="33" t="s">
        <v>110</v>
      </c>
      <c r="L37" s="28" t="s">
        <v>25</v>
      </c>
      <c r="M37" s="28" t="s">
        <v>20</v>
      </c>
      <c r="N37" s="28" t="s">
        <v>25</v>
      </c>
      <c r="O37" s="28" t="s">
        <v>25</v>
      </c>
      <c r="P37" s="28" t="s">
        <v>25</v>
      </c>
      <c r="Q37" s="28" t="s">
        <v>28</v>
      </c>
      <c r="R37" s="28" t="s">
        <v>20</v>
      </c>
      <c r="S37" s="28" t="s">
        <v>20</v>
      </c>
      <c r="U37" s="110"/>
      <c r="V37" s="13" t="s">
        <v>34</v>
      </c>
      <c r="W37" s="16">
        <f>+COUNTIF(Q5:Q65,"Ninguna")</f>
        <v>3</v>
      </c>
      <c r="X37" s="47"/>
      <c r="Y37" s="60"/>
      <c r="Z37" s="62"/>
      <c r="AA37" s="63"/>
      <c r="AB37" s="60"/>
      <c r="AC37" s="64"/>
      <c r="AD37" s="60"/>
      <c r="AE37" s="60"/>
      <c r="AG37" s="60"/>
      <c r="AH37" s="60"/>
      <c r="AI37" s="60"/>
      <c r="AJ37" s="60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</row>
    <row r="38" spans="1:50" x14ac:dyDescent="0.25">
      <c r="A38" s="3">
        <v>34</v>
      </c>
      <c r="B38" s="29">
        <v>42937</v>
      </c>
      <c r="C38" s="28" t="s">
        <v>30</v>
      </c>
      <c r="D38" s="28"/>
      <c r="E38" s="28">
        <v>1</v>
      </c>
      <c r="F38" s="28"/>
      <c r="G38" s="28"/>
      <c r="H38" s="28"/>
      <c r="I38" s="28"/>
      <c r="J38" s="33" t="s">
        <v>111</v>
      </c>
      <c r="K38" s="33" t="s">
        <v>110</v>
      </c>
      <c r="L38" s="28" t="s">
        <v>20</v>
      </c>
      <c r="M38" s="28" t="s">
        <v>20</v>
      </c>
      <c r="N38" s="28" t="s">
        <v>25</v>
      </c>
      <c r="O38" s="28" t="s">
        <v>25</v>
      </c>
      <c r="P38" s="28" t="s">
        <v>25</v>
      </c>
      <c r="Q38" s="28" t="s">
        <v>27</v>
      </c>
      <c r="R38" s="28" t="s">
        <v>20</v>
      </c>
      <c r="S38" s="28" t="s">
        <v>20</v>
      </c>
      <c r="U38" s="137" t="s">
        <v>42</v>
      </c>
      <c r="V38" s="12" t="s">
        <v>20</v>
      </c>
      <c r="W38" s="14">
        <f>+COUNTIF(R5:R65,"Si")</f>
        <v>26</v>
      </c>
      <c r="X38" s="125" t="s">
        <v>118</v>
      </c>
      <c r="Y38" s="48" t="s">
        <v>114</v>
      </c>
      <c r="Z38" s="49">
        <f>COUNTIFS($C$5:$C$65,"M",$R$5:$R$65,"Si")</f>
        <v>13</v>
      </c>
      <c r="AA38" s="125" t="s">
        <v>117</v>
      </c>
      <c r="AB38" s="48" t="s">
        <v>114</v>
      </c>
      <c r="AC38" s="55">
        <f>COUNTIFS($C$5:$C$65,"M",$R$5:$R$65,"No")</f>
        <v>5</v>
      </c>
      <c r="AD38" s="125" t="s">
        <v>118</v>
      </c>
      <c r="AE38" s="48" t="s">
        <v>4</v>
      </c>
      <c r="AF38" s="48">
        <f>COUNTIFS($D$5:$D$65,"1",$R$5:$R$65,"Si")</f>
        <v>8</v>
      </c>
      <c r="AG38" s="48" t="s">
        <v>7</v>
      </c>
      <c r="AH38" s="48">
        <f>COUNTIFS($G$5:$G$65,"1",$R$5:$R$65,"Si")</f>
        <v>5</v>
      </c>
      <c r="AI38" s="48" t="s">
        <v>29</v>
      </c>
      <c r="AJ38" s="49">
        <f>COUNTIFS($I$5:$I$65,"Blanco",$R$5:$R$65,"Si")</f>
        <v>1</v>
      </c>
      <c r="AK38" s="50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x14ac:dyDescent="0.25">
      <c r="A39" s="3">
        <v>35</v>
      </c>
      <c r="B39" s="29"/>
      <c r="C39" s="28"/>
      <c r="D39" s="28"/>
      <c r="E39" s="28"/>
      <c r="F39" s="28"/>
      <c r="G39" s="28"/>
      <c r="H39" s="28"/>
      <c r="I39" s="28"/>
      <c r="J39" s="33"/>
      <c r="K39" s="33"/>
      <c r="L39" s="28"/>
      <c r="M39" s="28"/>
      <c r="N39" s="28"/>
      <c r="O39" s="28"/>
      <c r="P39" s="28"/>
      <c r="Q39" s="28"/>
      <c r="R39" s="28"/>
      <c r="S39" s="28"/>
      <c r="U39" s="109"/>
      <c r="V39" s="9" t="s">
        <v>25</v>
      </c>
      <c r="W39" s="15">
        <f>+COUNTIF(R5:R65,"No")</f>
        <v>8</v>
      </c>
      <c r="X39" s="126"/>
      <c r="Y39" s="6" t="s">
        <v>115</v>
      </c>
      <c r="Z39" s="51">
        <f>COUNTIFS($C$5:$C$65,"F",$R$5:$R$65,"Si")</f>
        <v>11</v>
      </c>
      <c r="AA39" s="126"/>
      <c r="AB39" s="6" t="s">
        <v>115</v>
      </c>
      <c r="AC39" s="57">
        <f>COUNTIFS($C$5:$C$65,"F",$R$5:$R$65,"No")</f>
        <v>3</v>
      </c>
      <c r="AD39" s="126"/>
      <c r="AE39" s="6" t="s">
        <v>5</v>
      </c>
      <c r="AF39" s="6">
        <f>COUNTIFS($E$5:$E$65,"1",$R$5:$R$65,"Si")</f>
        <v>3</v>
      </c>
      <c r="AG39" s="39" t="s">
        <v>8</v>
      </c>
      <c r="AH39" s="6">
        <f>COUNTIFS($H$5:$H$65,"1",$R$5:$R$65,"Si")</f>
        <v>1</v>
      </c>
      <c r="AI39" s="6"/>
      <c r="AJ39" s="51"/>
      <c r="AK39" s="50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5.75" thickBot="1" x14ac:dyDescent="0.3">
      <c r="A40" s="3">
        <v>36</v>
      </c>
      <c r="B40" s="29"/>
      <c r="C40" s="31"/>
      <c r="D40" s="28"/>
      <c r="E40" s="28"/>
      <c r="F40" s="28"/>
      <c r="G40" s="28"/>
      <c r="H40" s="28"/>
      <c r="I40" s="28"/>
      <c r="J40" s="33"/>
      <c r="K40" s="33"/>
      <c r="L40" s="31"/>
      <c r="M40" s="31"/>
      <c r="N40" s="31"/>
      <c r="O40" s="31"/>
      <c r="P40" s="31"/>
      <c r="Q40" s="31"/>
      <c r="R40" s="31"/>
      <c r="S40" s="31"/>
      <c r="U40" s="110"/>
      <c r="V40" s="13" t="s">
        <v>29</v>
      </c>
      <c r="W40" s="16">
        <f>+COUNTIF(R5:R65,"Blanco")</f>
        <v>0</v>
      </c>
      <c r="X40" s="127"/>
      <c r="Y40" s="26" t="s">
        <v>29</v>
      </c>
      <c r="Z40" s="52">
        <f>COUNTIFS($C$5:$C$65,"Blanco",$R$5:$R$65,"Si")</f>
        <v>2</v>
      </c>
      <c r="AA40" s="127"/>
      <c r="AB40" s="26" t="s">
        <v>29</v>
      </c>
      <c r="AC40" s="58">
        <f>COUNTIFS($C$5:$C$65,"Blanco",$R$5:$R$65,"No")</f>
        <v>0</v>
      </c>
      <c r="AD40" s="127"/>
      <c r="AE40" s="26" t="s">
        <v>6</v>
      </c>
      <c r="AF40" s="26">
        <f>COUNTIFS($F$5:$F$65,"1",$R$5:$R$65,"Si")</f>
        <v>4</v>
      </c>
      <c r="AG40" s="26" t="s">
        <v>9</v>
      </c>
      <c r="AH40" s="26">
        <f>COUNTIFS($I$5:$I$65,"1",$R$5:$R$65,"Si")</f>
        <v>4</v>
      </c>
      <c r="AI40" s="26"/>
      <c r="AJ40" s="52"/>
      <c r="AK40" s="50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x14ac:dyDescent="0.25">
      <c r="A41" s="3">
        <v>37</v>
      </c>
      <c r="B41" s="29"/>
      <c r="C41" s="31"/>
      <c r="D41" s="28"/>
      <c r="E41" s="28"/>
      <c r="F41" s="28"/>
      <c r="G41" s="28"/>
      <c r="H41" s="28"/>
      <c r="I41" s="28"/>
      <c r="J41" s="33"/>
      <c r="K41" s="28"/>
      <c r="L41" s="31"/>
      <c r="M41" s="31"/>
      <c r="N41" s="31"/>
      <c r="O41" s="31"/>
      <c r="P41" s="31"/>
      <c r="Q41" s="31"/>
      <c r="R41" s="31"/>
      <c r="S41" s="31"/>
      <c r="U41" s="137" t="s">
        <v>43</v>
      </c>
      <c r="V41" s="12" t="s">
        <v>20</v>
      </c>
      <c r="W41" s="14">
        <f>+COUNTIF(S5:S65,"Si")</f>
        <v>16</v>
      </c>
      <c r="X41" s="125" t="s">
        <v>118</v>
      </c>
      <c r="Y41" s="48" t="s">
        <v>114</v>
      </c>
      <c r="Z41" s="49">
        <f>COUNTIFS($C$5:$C$65,"M",$S$5:$S$65,"Si")</f>
        <v>8</v>
      </c>
      <c r="AA41" s="125" t="s">
        <v>117</v>
      </c>
      <c r="AB41" s="48" t="s">
        <v>114</v>
      </c>
      <c r="AC41" s="55">
        <f>COUNTIFS($C$5:$C$65,"M",$S$5:$S$65,"No")</f>
        <v>10</v>
      </c>
      <c r="AD41" s="125" t="s">
        <v>118</v>
      </c>
      <c r="AE41" s="48" t="s">
        <v>4</v>
      </c>
      <c r="AF41" s="48">
        <f>COUNTIFS($D$5:$D$65,"1",$S$5:$S$65,"Si")</f>
        <v>5</v>
      </c>
      <c r="AG41" s="48" t="s">
        <v>7</v>
      </c>
      <c r="AH41" s="48">
        <f>COUNTIFS($G$5:$G$65,"1",$S$5:$S$65,"Si")</f>
        <v>5</v>
      </c>
      <c r="AI41" s="48" t="s">
        <v>29</v>
      </c>
      <c r="AJ41" s="49">
        <f>COUNTIFS($I$5:$I$65,"Blanco",$S$5:$S$65,"Si")</f>
        <v>0</v>
      </c>
      <c r="AK41" s="50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x14ac:dyDescent="0.25">
      <c r="A42" s="3">
        <v>38</v>
      </c>
      <c r="B42" s="29"/>
      <c r="C42" s="28"/>
      <c r="D42" s="28"/>
      <c r="E42" s="28"/>
      <c r="F42" s="28"/>
      <c r="G42" s="28"/>
      <c r="H42" s="28"/>
      <c r="I42" s="28"/>
      <c r="J42" s="33"/>
      <c r="K42" s="28"/>
      <c r="L42" s="28"/>
      <c r="M42" s="28"/>
      <c r="N42" s="28"/>
      <c r="O42" s="28"/>
      <c r="P42" s="28"/>
      <c r="Q42" s="28"/>
      <c r="R42" s="28"/>
      <c r="S42" s="28"/>
      <c r="U42" s="109"/>
      <c r="V42" s="9" t="s">
        <v>25</v>
      </c>
      <c r="W42" s="15">
        <f>+COUNTIF(S5:S65,"No")</f>
        <v>18</v>
      </c>
      <c r="X42" s="126"/>
      <c r="Y42" s="6" t="s">
        <v>115</v>
      </c>
      <c r="Z42" s="51">
        <f>COUNTIFS($C$5:$C$65,"F",$S$5:$S$65,"Si")</f>
        <v>7</v>
      </c>
      <c r="AA42" s="126"/>
      <c r="AB42" s="6" t="s">
        <v>115</v>
      </c>
      <c r="AC42" s="57">
        <f>COUNTIFS($C$5:$C$65,"F",$S$5:$S$65,"No")</f>
        <v>7</v>
      </c>
      <c r="AD42" s="126"/>
      <c r="AE42" s="6" t="s">
        <v>5</v>
      </c>
      <c r="AF42" s="6">
        <f>COUNTIFS($E$5:$E$65,"1",$S$6:$S$66,"Si")</f>
        <v>2</v>
      </c>
      <c r="AG42" s="39" t="s">
        <v>8</v>
      </c>
      <c r="AH42" s="6">
        <f>COUNTIFS($H$5:$H$65,"1",$S$5:$S$65,"Si")</f>
        <v>0</v>
      </c>
      <c r="AI42" s="6"/>
      <c r="AJ42" s="51"/>
      <c r="AK42" s="50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5.75" thickBot="1" x14ac:dyDescent="0.3">
      <c r="A43" s="3">
        <v>39</v>
      </c>
      <c r="B43" s="29"/>
      <c r="C43" s="28"/>
      <c r="D43" s="28"/>
      <c r="E43" s="28"/>
      <c r="F43" s="28"/>
      <c r="G43" s="28"/>
      <c r="H43" s="28"/>
      <c r="I43" s="28"/>
      <c r="J43" s="33"/>
      <c r="K43" s="28"/>
      <c r="L43" s="28"/>
      <c r="M43" s="28"/>
      <c r="N43" s="28"/>
      <c r="O43" s="28"/>
      <c r="P43" s="28"/>
      <c r="Q43" s="28"/>
      <c r="R43" s="28"/>
      <c r="S43" s="28"/>
      <c r="U43" s="110"/>
      <c r="V43" s="13" t="s">
        <v>29</v>
      </c>
      <c r="W43" s="16">
        <f>+COUNTIF(S5:S65,"Blanco")</f>
        <v>0</v>
      </c>
      <c r="X43" s="127"/>
      <c r="Y43" s="26" t="s">
        <v>29</v>
      </c>
      <c r="Z43" s="52">
        <f>COUNTIFS($C$5:$C$65,"Blanco",$S$5:$S$65,"Si")</f>
        <v>1</v>
      </c>
      <c r="AA43" s="127"/>
      <c r="AB43" s="26" t="s">
        <v>29</v>
      </c>
      <c r="AC43" s="58">
        <f>COUNTIFS($C$5:$C$65,"Blanco",$S$5:$S$65,"No")</f>
        <v>1</v>
      </c>
      <c r="AD43" s="127"/>
      <c r="AE43" s="26" t="s">
        <v>6</v>
      </c>
      <c r="AF43" s="26">
        <f>COUNTIFS($F$5:$F$65,"1",$S$5:$S$65,"Si")</f>
        <v>1</v>
      </c>
      <c r="AG43" s="26" t="s">
        <v>9</v>
      </c>
      <c r="AH43" s="26">
        <f>COUNTIFS($I$5:$I$65,"1",$S$5:$S$65,"Si")</f>
        <v>3</v>
      </c>
      <c r="AI43" s="26"/>
      <c r="AJ43" s="52"/>
      <c r="AK43" s="50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x14ac:dyDescent="0.25">
      <c r="A44" s="3">
        <v>40</v>
      </c>
      <c r="B44" s="29"/>
      <c r="C44" s="28"/>
      <c r="D44" s="28"/>
      <c r="E44" s="28"/>
      <c r="F44" s="28"/>
      <c r="G44" s="28"/>
      <c r="H44" s="28"/>
      <c r="I44" s="28"/>
      <c r="J44" s="33"/>
      <c r="K44" s="28"/>
      <c r="L44" s="28"/>
      <c r="M44" s="28"/>
      <c r="N44" s="28"/>
      <c r="O44" s="28"/>
      <c r="P44" s="28"/>
      <c r="Q44" s="28"/>
      <c r="R44" s="28"/>
      <c r="S44" s="28"/>
    </row>
    <row r="45" spans="1:50" x14ac:dyDescent="0.25">
      <c r="A45" s="3">
        <v>41</v>
      </c>
      <c r="B45" s="29"/>
      <c r="C45" s="28"/>
      <c r="D45" s="28"/>
      <c r="E45" s="28"/>
      <c r="F45" s="28"/>
      <c r="G45" s="28"/>
      <c r="H45" s="28"/>
      <c r="I45" s="28"/>
      <c r="J45" s="33"/>
      <c r="K45" s="28"/>
      <c r="L45" s="28"/>
      <c r="M45" s="28"/>
      <c r="N45" s="28"/>
      <c r="O45" s="28"/>
      <c r="P45" s="28"/>
      <c r="Q45" s="28"/>
      <c r="R45" s="28"/>
      <c r="S45" s="28"/>
    </row>
    <row r="46" spans="1:50" x14ac:dyDescent="0.25">
      <c r="A46" s="3">
        <v>42</v>
      </c>
      <c r="B46" s="29"/>
      <c r="C46" s="28"/>
      <c r="D46" s="28"/>
      <c r="E46" s="28"/>
      <c r="F46" s="28"/>
      <c r="G46" s="28"/>
      <c r="H46" s="28"/>
      <c r="I46" s="28"/>
      <c r="J46" s="33"/>
      <c r="K46" s="28"/>
      <c r="L46" s="28"/>
      <c r="M46" s="28"/>
      <c r="N46" s="28"/>
      <c r="O46" s="28"/>
      <c r="P46" s="28"/>
      <c r="Q46" s="28"/>
      <c r="R46" s="28"/>
      <c r="S46" s="28"/>
    </row>
    <row r="47" spans="1:50" x14ac:dyDescent="0.25">
      <c r="A47" s="3">
        <v>43</v>
      </c>
      <c r="B47" s="29"/>
      <c r="C47" s="28"/>
      <c r="D47" s="28"/>
      <c r="E47" s="28"/>
      <c r="F47" s="28"/>
      <c r="G47" s="28"/>
      <c r="H47" s="28"/>
      <c r="I47" s="28"/>
      <c r="J47" s="33"/>
      <c r="K47" s="28"/>
      <c r="L47" s="28"/>
      <c r="M47" s="28"/>
      <c r="N47" s="28"/>
      <c r="O47" s="28"/>
      <c r="P47" s="28"/>
      <c r="Q47" s="28"/>
      <c r="R47" s="28"/>
      <c r="S47" s="28"/>
    </row>
    <row r="48" spans="1:50" x14ac:dyDescent="0.25">
      <c r="A48" s="3">
        <v>44</v>
      </c>
      <c r="B48" s="29"/>
      <c r="C48" s="28"/>
      <c r="D48" s="28"/>
      <c r="E48" s="28"/>
      <c r="F48" s="28"/>
      <c r="G48" s="28"/>
      <c r="H48" s="28"/>
      <c r="I48" s="28"/>
      <c r="J48" s="33"/>
      <c r="K48" s="28"/>
      <c r="L48" s="28"/>
      <c r="M48" s="28"/>
      <c r="N48" s="28"/>
      <c r="O48" s="28"/>
      <c r="P48" s="28"/>
      <c r="Q48" s="28"/>
      <c r="R48" s="28"/>
      <c r="S48" s="28"/>
    </row>
    <row r="49" spans="1:19" x14ac:dyDescent="0.25">
      <c r="A49" s="3">
        <v>45</v>
      </c>
      <c r="B49" s="29"/>
      <c r="C49" s="28"/>
      <c r="D49" s="28"/>
      <c r="E49" s="28"/>
      <c r="F49" s="28"/>
      <c r="G49" s="28"/>
      <c r="H49" s="28"/>
      <c r="I49" s="28"/>
      <c r="J49" s="33"/>
      <c r="K49" s="28"/>
      <c r="L49" s="28"/>
      <c r="M49" s="28"/>
      <c r="N49" s="28"/>
      <c r="O49" s="28"/>
      <c r="P49" s="28"/>
      <c r="Q49" s="28"/>
      <c r="R49" s="28"/>
      <c r="S49" s="28"/>
    </row>
    <row r="50" spans="1:19" x14ac:dyDescent="0.25">
      <c r="A50" s="3">
        <v>46</v>
      </c>
      <c r="B50" s="29"/>
      <c r="C50" s="28"/>
      <c r="D50" s="28"/>
      <c r="E50" s="28"/>
      <c r="F50" s="28"/>
      <c r="G50" s="28"/>
      <c r="H50" s="28"/>
      <c r="I50" s="28"/>
      <c r="J50" s="33"/>
      <c r="K50" s="28"/>
      <c r="L50" s="28"/>
      <c r="M50" s="28"/>
      <c r="N50" s="28"/>
      <c r="O50" s="28"/>
      <c r="P50" s="28"/>
      <c r="Q50" s="28"/>
      <c r="R50" s="28"/>
      <c r="S50" s="28"/>
    </row>
    <row r="51" spans="1:19" x14ac:dyDescent="0.25">
      <c r="A51" s="3">
        <v>47</v>
      </c>
      <c r="B51" s="29"/>
      <c r="C51" s="28"/>
      <c r="D51" s="28"/>
      <c r="E51" s="28"/>
      <c r="F51" s="28"/>
      <c r="G51" s="28"/>
      <c r="H51" s="28"/>
      <c r="I51" s="28"/>
      <c r="J51" s="33"/>
      <c r="K51" s="28"/>
      <c r="L51" s="28"/>
      <c r="M51" s="28"/>
      <c r="N51" s="28"/>
      <c r="O51" s="28"/>
      <c r="P51" s="28"/>
      <c r="Q51" s="28"/>
      <c r="R51" s="28"/>
      <c r="S51" s="28"/>
    </row>
    <row r="52" spans="1:19" x14ac:dyDescent="0.25">
      <c r="A52" s="3">
        <v>48</v>
      </c>
      <c r="B52" s="29"/>
      <c r="C52" s="28"/>
      <c r="D52" s="28"/>
      <c r="E52" s="28"/>
      <c r="F52" s="28"/>
      <c r="G52" s="28"/>
      <c r="H52" s="28"/>
      <c r="I52" s="28"/>
      <c r="J52" s="33"/>
      <c r="K52" s="28"/>
      <c r="L52" s="28"/>
      <c r="M52" s="28"/>
      <c r="N52" s="28"/>
      <c r="O52" s="28"/>
      <c r="P52" s="28"/>
      <c r="Q52" s="28"/>
      <c r="R52" s="28"/>
      <c r="S52" s="28"/>
    </row>
    <row r="53" spans="1:19" x14ac:dyDescent="0.25">
      <c r="A53" s="3">
        <v>49</v>
      </c>
      <c r="B53" s="29"/>
      <c r="C53" s="28"/>
      <c r="D53" s="28"/>
      <c r="E53" s="28"/>
      <c r="F53" s="28"/>
      <c r="G53" s="28"/>
      <c r="H53" s="28"/>
      <c r="I53" s="28"/>
      <c r="J53" s="33"/>
      <c r="K53" s="28"/>
      <c r="L53" s="28"/>
      <c r="M53" s="28"/>
      <c r="N53" s="28"/>
      <c r="O53" s="28"/>
      <c r="P53" s="28"/>
      <c r="Q53" s="28"/>
      <c r="R53" s="28"/>
      <c r="S53" s="28"/>
    </row>
    <row r="54" spans="1:19" x14ac:dyDescent="0.25">
      <c r="A54" s="3">
        <v>50</v>
      </c>
      <c r="B54" s="29"/>
      <c r="C54" s="28"/>
      <c r="D54" s="28"/>
      <c r="E54" s="28"/>
      <c r="F54" s="28"/>
      <c r="G54" s="28"/>
      <c r="H54" s="28"/>
      <c r="I54" s="28"/>
      <c r="J54" s="33"/>
      <c r="K54" s="28"/>
      <c r="L54" s="28"/>
      <c r="M54" s="28"/>
      <c r="N54" s="28"/>
      <c r="O54" s="28"/>
      <c r="P54" s="28"/>
      <c r="Q54" s="28"/>
      <c r="R54" s="28"/>
      <c r="S54" s="28"/>
    </row>
    <row r="55" spans="1:19" x14ac:dyDescent="0.25">
      <c r="A55" s="3">
        <v>51</v>
      </c>
      <c r="B55" s="29"/>
      <c r="C55" s="28"/>
      <c r="D55" s="28"/>
      <c r="E55" s="28"/>
      <c r="F55" s="28"/>
      <c r="G55" s="28"/>
      <c r="H55" s="28"/>
      <c r="I55" s="28"/>
      <c r="J55" s="33"/>
      <c r="K55" s="28"/>
      <c r="L55" s="28"/>
      <c r="M55" s="28"/>
      <c r="N55" s="28"/>
      <c r="O55" s="28"/>
      <c r="P55" s="28"/>
      <c r="Q55" s="28"/>
      <c r="R55" s="28"/>
      <c r="S55" s="28"/>
    </row>
    <row r="56" spans="1:19" x14ac:dyDescent="0.25">
      <c r="A56" s="3">
        <v>52</v>
      </c>
      <c r="B56" s="29"/>
      <c r="C56" s="28"/>
      <c r="D56" s="28"/>
      <c r="E56" s="28"/>
      <c r="F56" s="28"/>
      <c r="G56" s="28"/>
      <c r="H56" s="28"/>
      <c r="I56" s="28"/>
      <c r="J56" s="33"/>
      <c r="K56" s="28"/>
      <c r="L56" s="28"/>
      <c r="M56" s="28"/>
      <c r="N56" s="28"/>
      <c r="O56" s="28"/>
      <c r="P56" s="28"/>
      <c r="Q56" s="28"/>
      <c r="R56" s="28"/>
      <c r="S56" s="28"/>
    </row>
    <row r="57" spans="1:19" x14ac:dyDescent="0.25">
      <c r="A57" s="3">
        <v>53</v>
      </c>
      <c r="B57" s="29"/>
      <c r="C57" s="28"/>
      <c r="D57" s="28"/>
      <c r="E57" s="28"/>
      <c r="F57" s="28"/>
      <c r="G57" s="28"/>
      <c r="H57" s="28"/>
      <c r="I57" s="28"/>
      <c r="J57" s="33"/>
      <c r="K57" s="28"/>
      <c r="L57" s="28"/>
      <c r="M57" s="28"/>
      <c r="N57" s="28"/>
      <c r="O57" s="28"/>
      <c r="P57" s="28"/>
      <c r="Q57" s="28"/>
      <c r="R57" s="28"/>
      <c r="S57" s="28"/>
    </row>
    <row r="58" spans="1:19" x14ac:dyDescent="0.25">
      <c r="A58" s="3">
        <v>54</v>
      </c>
      <c r="B58" s="29"/>
      <c r="C58" s="28"/>
      <c r="D58" s="28"/>
      <c r="E58" s="28"/>
      <c r="F58" s="28"/>
      <c r="G58" s="28"/>
      <c r="H58" s="28"/>
      <c r="I58" s="28"/>
      <c r="J58" s="33"/>
      <c r="K58" s="28"/>
      <c r="L58" s="28"/>
      <c r="M58" s="28"/>
      <c r="N58" s="28"/>
      <c r="O58" s="28"/>
      <c r="P58" s="28"/>
      <c r="Q58" s="28"/>
      <c r="R58" s="28"/>
      <c r="S58" s="28"/>
    </row>
    <row r="59" spans="1:19" x14ac:dyDescent="0.25">
      <c r="A59" s="3">
        <v>55</v>
      </c>
      <c r="B59" s="29"/>
      <c r="C59" s="28"/>
      <c r="D59" s="28"/>
      <c r="E59" s="28"/>
      <c r="F59" s="28"/>
      <c r="G59" s="28"/>
      <c r="H59" s="28"/>
      <c r="I59" s="28"/>
      <c r="J59" s="33"/>
      <c r="K59" s="28"/>
      <c r="L59" s="28"/>
      <c r="M59" s="28"/>
      <c r="N59" s="28"/>
      <c r="O59" s="28"/>
      <c r="P59" s="28"/>
      <c r="Q59" s="28"/>
      <c r="R59" s="28"/>
      <c r="S59" s="28"/>
    </row>
    <row r="60" spans="1:19" x14ac:dyDescent="0.25">
      <c r="A60" s="3">
        <v>56</v>
      </c>
      <c r="B60" s="29"/>
      <c r="C60" s="28"/>
      <c r="D60" s="28"/>
      <c r="E60" s="28"/>
      <c r="F60" s="28"/>
      <c r="G60" s="28"/>
      <c r="H60" s="28"/>
      <c r="I60" s="28"/>
      <c r="J60" s="33"/>
      <c r="K60" s="28"/>
      <c r="L60" s="28"/>
      <c r="M60" s="28"/>
      <c r="N60" s="28"/>
      <c r="O60" s="28"/>
      <c r="P60" s="28"/>
      <c r="Q60" s="28"/>
      <c r="R60" s="28"/>
      <c r="S60" s="28"/>
    </row>
    <row r="61" spans="1:19" x14ac:dyDescent="0.25">
      <c r="A61" s="3">
        <v>57</v>
      </c>
      <c r="B61" s="29"/>
      <c r="C61" s="28"/>
      <c r="D61" s="28"/>
      <c r="E61" s="28"/>
      <c r="F61" s="28"/>
      <c r="G61" s="28"/>
      <c r="H61" s="28"/>
      <c r="I61" s="28"/>
      <c r="J61" s="33"/>
      <c r="K61" s="28"/>
      <c r="L61" s="28"/>
      <c r="M61" s="28"/>
      <c r="N61" s="28"/>
      <c r="O61" s="28"/>
      <c r="P61" s="28"/>
      <c r="Q61" s="28"/>
      <c r="R61" s="28"/>
      <c r="S61" s="28"/>
    </row>
    <row r="62" spans="1:19" x14ac:dyDescent="0.25">
      <c r="A62" s="3">
        <v>58</v>
      </c>
      <c r="B62" s="29"/>
      <c r="C62" s="28"/>
      <c r="D62" s="28"/>
      <c r="E62" s="28"/>
      <c r="F62" s="28"/>
      <c r="G62" s="28"/>
      <c r="H62" s="28"/>
      <c r="I62" s="28"/>
      <c r="J62" s="33"/>
      <c r="K62" s="28"/>
      <c r="L62" s="28"/>
      <c r="M62" s="28"/>
      <c r="N62" s="28"/>
      <c r="O62" s="28"/>
      <c r="P62" s="28"/>
      <c r="Q62" s="28"/>
      <c r="R62" s="28"/>
      <c r="S62" s="28"/>
    </row>
    <row r="63" spans="1:19" x14ac:dyDescent="0.25">
      <c r="A63" s="3">
        <v>59</v>
      </c>
      <c r="B63" s="29"/>
      <c r="C63" s="28"/>
      <c r="D63" s="28"/>
      <c r="E63" s="28"/>
      <c r="F63" s="28"/>
      <c r="G63" s="28"/>
      <c r="H63" s="28"/>
      <c r="I63" s="28"/>
      <c r="J63" s="33"/>
      <c r="K63" s="28"/>
      <c r="L63" s="28"/>
      <c r="M63" s="28"/>
      <c r="N63" s="28"/>
      <c r="O63" s="28"/>
      <c r="P63" s="28"/>
      <c r="Q63" s="28"/>
      <c r="R63" s="28"/>
      <c r="S63" s="28"/>
    </row>
    <row r="64" spans="1:19" x14ac:dyDescent="0.25">
      <c r="A64" s="3">
        <v>60</v>
      </c>
      <c r="B64" s="29"/>
      <c r="C64" s="28"/>
      <c r="D64" s="28"/>
      <c r="E64" s="28"/>
      <c r="F64" s="28"/>
      <c r="G64" s="28"/>
      <c r="H64" s="28"/>
      <c r="I64" s="28"/>
      <c r="J64" s="33"/>
      <c r="K64" s="28"/>
      <c r="L64" s="28"/>
      <c r="M64" s="28"/>
      <c r="N64" s="28"/>
      <c r="O64" s="28"/>
      <c r="P64" s="28"/>
      <c r="Q64" s="28"/>
      <c r="R64" s="28"/>
      <c r="S64" s="28"/>
    </row>
    <row r="65" spans="1:19" x14ac:dyDescent="0.25">
      <c r="A65" s="3">
        <v>61</v>
      </c>
      <c r="B65" s="29"/>
      <c r="C65" s="28"/>
      <c r="D65" s="28"/>
      <c r="E65" s="28"/>
      <c r="F65" s="28"/>
      <c r="G65" s="28"/>
      <c r="H65" s="28"/>
      <c r="I65" s="28"/>
      <c r="J65" s="33"/>
      <c r="K65" s="28"/>
      <c r="L65" s="28"/>
      <c r="M65" s="28"/>
      <c r="N65" s="28"/>
      <c r="O65" s="28"/>
      <c r="P65" s="28"/>
      <c r="Q65" s="28"/>
      <c r="R65" s="28"/>
      <c r="S65" s="28"/>
    </row>
  </sheetData>
  <mergeCells count="58">
    <mergeCell ref="X41:X43"/>
    <mergeCell ref="AA41:AA43"/>
    <mergeCell ref="AD41:AD43"/>
    <mergeCell ref="AG34:AG36"/>
    <mergeCell ref="AK34:AK36"/>
    <mergeCell ref="AR34:AR36"/>
    <mergeCell ref="X38:X40"/>
    <mergeCell ref="AA38:AA40"/>
    <mergeCell ref="AD38:AD40"/>
    <mergeCell ref="X31:X33"/>
    <mergeCell ref="AA31:AA33"/>
    <mergeCell ref="AD31:AD33"/>
    <mergeCell ref="X34:X36"/>
    <mergeCell ref="AA34:AA36"/>
    <mergeCell ref="AD34:AD36"/>
    <mergeCell ref="X25:X27"/>
    <mergeCell ref="AA25:AA27"/>
    <mergeCell ref="AD25:AD27"/>
    <mergeCell ref="X28:X30"/>
    <mergeCell ref="AA28:AA30"/>
    <mergeCell ref="AD28:AD30"/>
    <mergeCell ref="X19:X21"/>
    <mergeCell ref="AA19:AA21"/>
    <mergeCell ref="AD19:AD21"/>
    <mergeCell ref="X22:X24"/>
    <mergeCell ref="AA22:AA24"/>
    <mergeCell ref="AD22:AD24"/>
    <mergeCell ref="A1:S1"/>
    <mergeCell ref="U1:W1"/>
    <mergeCell ref="A2:S2"/>
    <mergeCell ref="U2:V2"/>
    <mergeCell ref="A3:A4"/>
    <mergeCell ref="B3:B4"/>
    <mergeCell ref="C3:C4"/>
    <mergeCell ref="D3:I3"/>
    <mergeCell ref="J3:J4"/>
    <mergeCell ref="K3:K4"/>
    <mergeCell ref="U6:U12"/>
    <mergeCell ref="L3:L4"/>
    <mergeCell ref="M3:M4"/>
    <mergeCell ref="N3:N4"/>
    <mergeCell ref="O3:O4"/>
    <mergeCell ref="P3:P4"/>
    <mergeCell ref="Q3:Q4"/>
    <mergeCell ref="R3:R4"/>
    <mergeCell ref="S3:S4"/>
    <mergeCell ref="U3:V3"/>
    <mergeCell ref="U4:V4"/>
    <mergeCell ref="U5:V5"/>
    <mergeCell ref="U34:U37"/>
    <mergeCell ref="U38:U40"/>
    <mergeCell ref="U41:U43"/>
    <mergeCell ref="U13:U18"/>
    <mergeCell ref="U19:U21"/>
    <mergeCell ref="U22:U24"/>
    <mergeCell ref="U25:U27"/>
    <mergeCell ref="U28:U30"/>
    <mergeCell ref="U31:U33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41"/>
  <sheetViews>
    <sheetView topLeftCell="V1" zoomScale="50" zoomScaleNormal="50" workbookViewId="0">
      <selection activeCell="AX31" sqref="AT31:AX33"/>
    </sheetView>
  </sheetViews>
  <sheetFormatPr baseColWidth="10" defaultRowHeight="15" x14ac:dyDescent="0.25"/>
  <cols>
    <col min="1" max="1" width="4.140625" style="1" bestFit="1" customWidth="1"/>
    <col min="2" max="2" width="17.42578125" customWidth="1"/>
    <col min="4" max="4" width="9.7109375" bestFit="1" customWidth="1"/>
    <col min="5" max="5" width="10.140625" bestFit="1" customWidth="1"/>
    <col min="6" max="6" width="9.7109375" bestFit="1" customWidth="1"/>
    <col min="7" max="7" width="10.140625" bestFit="1" customWidth="1"/>
    <col min="8" max="8" width="9.7109375" bestFit="1" customWidth="1"/>
    <col min="9" max="9" width="14.140625" customWidth="1"/>
    <col min="10" max="10" width="20.140625" bestFit="1" customWidth="1"/>
    <col min="11" max="11" width="23.85546875" bestFit="1" customWidth="1"/>
    <col min="12" max="19" width="14.28515625" customWidth="1"/>
    <col min="21" max="21" width="48.42578125" style="7" customWidth="1"/>
    <col min="22" max="22" width="23.85546875" bestFit="1" customWidth="1"/>
    <col min="23" max="23" width="11.42578125" style="1"/>
  </cols>
  <sheetData>
    <row r="1" spans="1:50" ht="15.75" thickBot="1" x14ac:dyDescent="0.3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U1" s="144" t="s">
        <v>46</v>
      </c>
      <c r="V1" s="145"/>
      <c r="W1" s="148"/>
    </row>
    <row r="2" spans="1:50" ht="15.75" thickBot="1" x14ac:dyDescent="0.3">
      <c r="A2" s="123" t="s">
        <v>21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U2" s="144" t="s">
        <v>44</v>
      </c>
      <c r="V2" s="145"/>
      <c r="W2" s="17">
        <f>+COUNTIF(C5:C41,"M")</f>
        <v>12</v>
      </c>
    </row>
    <row r="3" spans="1:50" ht="15.75" customHeight="1" thickBot="1" x14ac:dyDescent="0.3">
      <c r="A3" s="149" t="s">
        <v>22</v>
      </c>
      <c r="B3" s="151" t="s">
        <v>2</v>
      </c>
      <c r="C3" s="149" t="s">
        <v>1</v>
      </c>
      <c r="D3" s="123" t="s">
        <v>3</v>
      </c>
      <c r="E3" s="123"/>
      <c r="F3" s="123"/>
      <c r="G3" s="123"/>
      <c r="H3" s="123"/>
      <c r="I3" s="123"/>
      <c r="J3" s="149" t="s">
        <v>11</v>
      </c>
      <c r="K3" s="149" t="s">
        <v>10</v>
      </c>
      <c r="L3" s="142" t="s">
        <v>12</v>
      </c>
      <c r="M3" s="142" t="s">
        <v>13</v>
      </c>
      <c r="N3" s="142" t="s">
        <v>14</v>
      </c>
      <c r="O3" s="142" t="s">
        <v>15</v>
      </c>
      <c r="P3" s="142" t="s">
        <v>16</v>
      </c>
      <c r="Q3" s="142" t="s">
        <v>17</v>
      </c>
      <c r="R3" s="142" t="s">
        <v>18</v>
      </c>
      <c r="S3" s="142" t="s">
        <v>19</v>
      </c>
      <c r="U3" s="144" t="s">
        <v>45</v>
      </c>
      <c r="V3" s="145"/>
      <c r="W3" s="17">
        <f>+COUNTIF(C5:C41,"F")</f>
        <v>23</v>
      </c>
    </row>
    <row r="4" spans="1:50" ht="15.75" customHeight="1" thickBot="1" x14ac:dyDescent="0.3">
      <c r="A4" s="150"/>
      <c r="B4" s="152"/>
      <c r="C4" s="150"/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150"/>
      <c r="K4" s="150"/>
      <c r="L4" s="143"/>
      <c r="M4" s="143"/>
      <c r="N4" s="143"/>
      <c r="O4" s="143"/>
      <c r="P4" s="143"/>
      <c r="Q4" s="143"/>
      <c r="R4" s="143"/>
      <c r="S4" s="143"/>
      <c r="U4" s="146" t="s">
        <v>29</v>
      </c>
      <c r="V4" s="147"/>
      <c r="W4" s="17">
        <f>+COUNTIF(C5:C41,"Blanco")</f>
        <v>0</v>
      </c>
    </row>
    <row r="5" spans="1:50" ht="15.75" thickBot="1" x14ac:dyDescent="0.3">
      <c r="A5" s="3">
        <v>1</v>
      </c>
      <c r="B5" s="29">
        <v>42927</v>
      </c>
      <c r="C5" s="28" t="s">
        <v>23</v>
      </c>
      <c r="D5" s="28"/>
      <c r="E5" s="28">
        <v>1</v>
      </c>
      <c r="F5" s="28"/>
      <c r="G5" s="28"/>
      <c r="H5" s="28"/>
      <c r="I5" s="28"/>
      <c r="J5" s="33" t="s">
        <v>66</v>
      </c>
      <c r="K5" s="33" t="s">
        <v>66</v>
      </c>
      <c r="L5" s="28" t="s">
        <v>25</v>
      </c>
      <c r="M5" s="28" t="s">
        <v>25</v>
      </c>
      <c r="N5" s="28" t="s">
        <v>25</v>
      </c>
      <c r="O5" s="28" t="s">
        <v>25</v>
      </c>
      <c r="P5" s="28" t="s">
        <v>25</v>
      </c>
      <c r="Q5" s="28" t="s">
        <v>26</v>
      </c>
      <c r="R5" s="28" t="s">
        <v>25</v>
      </c>
      <c r="S5" s="28" t="s">
        <v>25</v>
      </c>
      <c r="U5" s="146" t="s">
        <v>47</v>
      </c>
      <c r="V5" s="147"/>
      <c r="W5" s="18">
        <f>SUM(W2:W4)</f>
        <v>35</v>
      </c>
    </row>
    <row r="6" spans="1:50" x14ac:dyDescent="0.25">
      <c r="A6" s="3">
        <v>2</v>
      </c>
      <c r="B6" s="29">
        <v>42930</v>
      </c>
      <c r="C6" s="28" t="s">
        <v>30</v>
      </c>
      <c r="D6" s="28">
        <v>1</v>
      </c>
      <c r="E6" s="28"/>
      <c r="F6" s="28"/>
      <c r="G6" s="28"/>
      <c r="H6" s="28"/>
      <c r="I6" s="28"/>
      <c r="J6" s="33" t="s">
        <v>66</v>
      </c>
      <c r="K6" s="33" t="s">
        <v>66</v>
      </c>
      <c r="L6" s="28" t="s">
        <v>20</v>
      </c>
      <c r="M6" s="28" t="s">
        <v>20</v>
      </c>
      <c r="N6" s="28" t="s">
        <v>20</v>
      </c>
      <c r="O6" s="28" t="s">
        <v>20</v>
      </c>
      <c r="P6" s="28" t="s">
        <v>25</v>
      </c>
      <c r="Q6" s="28" t="s">
        <v>28</v>
      </c>
      <c r="R6" s="28" t="s">
        <v>20</v>
      </c>
      <c r="S6" s="28" t="s">
        <v>25</v>
      </c>
      <c r="U6" s="140" t="s">
        <v>3</v>
      </c>
      <c r="V6" s="11" t="s">
        <v>4</v>
      </c>
      <c r="W6" s="14">
        <f>+COUNTIF(D4:D41,"1")</f>
        <v>12</v>
      </c>
    </row>
    <row r="7" spans="1:50" x14ac:dyDescent="0.25">
      <c r="A7" s="3">
        <v>3</v>
      </c>
      <c r="B7" s="29">
        <v>42930</v>
      </c>
      <c r="C7" s="28" t="s">
        <v>23</v>
      </c>
      <c r="D7" s="28"/>
      <c r="E7" s="28"/>
      <c r="F7" s="28"/>
      <c r="G7" s="28"/>
      <c r="H7" s="28"/>
      <c r="I7" s="20" t="s">
        <v>29</v>
      </c>
      <c r="J7" s="33" t="s">
        <v>66</v>
      </c>
      <c r="K7" s="33" t="s">
        <v>66</v>
      </c>
      <c r="L7" s="28" t="s">
        <v>20</v>
      </c>
      <c r="M7" s="28" t="s">
        <v>20</v>
      </c>
      <c r="N7" s="28" t="s">
        <v>25</v>
      </c>
      <c r="O7" s="28" t="s">
        <v>25</v>
      </c>
      <c r="P7" s="28" t="s">
        <v>25</v>
      </c>
      <c r="Q7" s="28" t="s">
        <v>27</v>
      </c>
      <c r="R7" s="28" t="s">
        <v>25</v>
      </c>
      <c r="S7" s="28" t="s">
        <v>25</v>
      </c>
      <c r="U7" s="141"/>
      <c r="V7" s="8" t="s">
        <v>5</v>
      </c>
      <c r="W7" s="15">
        <f>+COUNTIF(E5:E41,"1")</f>
        <v>6</v>
      </c>
    </row>
    <row r="8" spans="1:50" x14ac:dyDescent="0.25">
      <c r="A8" s="3">
        <v>4</v>
      </c>
      <c r="B8" s="29">
        <v>42930</v>
      </c>
      <c r="C8" s="28" t="s">
        <v>30</v>
      </c>
      <c r="D8" s="28">
        <v>1</v>
      </c>
      <c r="E8" s="28"/>
      <c r="F8" s="28"/>
      <c r="G8" s="28"/>
      <c r="H8" s="28"/>
      <c r="I8" s="28"/>
      <c r="J8" s="33" t="s">
        <v>66</v>
      </c>
      <c r="K8" s="33" t="s">
        <v>66</v>
      </c>
      <c r="L8" s="28" t="s">
        <v>25</v>
      </c>
      <c r="M8" s="28" t="s">
        <v>20</v>
      </c>
      <c r="N8" s="28" t="s">
        <v>25</v>
      </c>
      <c r="O8" s="28" t="s">
        <v>25</v>
      </c>
      <c r="P8" s="28" t="s">
        <v>25</v>
      </c>
      <c r="Q8" s="28" t="s">
        <v>28</v>
      </c>
      <c r="R8" s="28" t="s">
        <v>25</v>
      </c>
      <c r="S8" s="28" t="s">
        <v>25</v>
      </c>
      <c r="U8" s="141"/>
      <c r="V8" s="8" t="s">
        <v>6</v>
      </c>
      <c r="W8" s="15">
        <f>+COUNTIF(F5:F41,"1")</f>
        <v>8</v>
      </c>
    </row>
    <row r="9" spans="1:50" x14ac:dyDescent="0.25">
      <c r="A9" s="3">
        <v>5</v>
      </c>
      <c r="B9" s="29">
        <v>42930</v>
      </c>
      <c r="C9" s="28" t="s">
        <v>30</v>
      </c>
      <c r="D9" s="28"/>
      <c r="E9" s="28">
        <v>1</v>
      </c>
      <c r="F9" s="28"/>
      <c r="G9" s="28"/>
      <c r="H9" s="28"/>
      <c r="I9" s="28"/>
      <c r="J9" s="33" t="s">
        <v>66</v>
      </c>
      <c r="K9" s="33" t="s">
        <v>66</v>
      </c>
      <c r="L9" s="28" t="s">
        <v>25</v>
      </c>
      <c r="M9" s="28" t="s">
        <v>20</v>
      </c>
      <c r="N9" s="28" t="s">
        <v>25</v>
      </c>
      <c r="O9" s="28" t="s">
        <v>25</v>
      </c>
      <c r="P9" s="28" t="s">
        <v>25</v>
      </c>
      <c r="Q9" s="28" t="s">
        <v>28</v>
      </c>
      <c r="R9" s="28" t="s">
        <v>25</v>
      </c>
      <c r="S9" s="28" t="s">
        <v>25</v>
      </c>
      <c r="U9" s="141"/>
      <c r="V9" s="8" t="s">
        <v>7</v>
      </c>
      <c r="W9" s="15">
        <f>+COUNTIF(G5:G40,"1")</f>
        <v>3</v>
      </c>
    </row>
    <row r="10" spans="1:50" x14ac:dyDescent="0.25">
      <c r="A10" s="3">
        <v>6</v>
      </c>
      <c r="B10" s="29">
        <v>42930</v>
      </c>
      <c r="C10" s="28" t="s">
        <v>23</v>
      </c>
      <c r="D10" s="28">
        <v>1</v>
      </c>
      <c r="E10" s="28"/>
      <c r="F10" s="28"/>
      <c r="G10" s="28"/>
      <c r="H10" s="28"/>
      <c r="I10" s="28"/>
      <c r="J10" s="33" t="s">
        <v>66</v>
      </c>
      <c r="K10" s="33" t="s">
        <v>66</v>
      </c>
      <c r="L10" s="28" t="s">
        <v>20</v>
      </c>
      <c r="M10" s="28" t="s">
        <v>20</v>
      </c>
      <c r="N10" s="28" t="s">
        <v>25</v>
      </c>
      <c r="O10" s="28" t="s">
        <v>25</v>
      </c>
      <c r="P10" s="28" t="s">
        <v>25</v>
      </c>
      <c r="Q10" s="28" t="s">
        <v>26</v>
      </c>
      <c r="R10" s="28" t="s">
        <v>20</v>
      </c>
      <c r="S10" s="28" t="s">
        <v>25</v>
      </c>
      <c r="U10" s="141"/>
      <c r="V10" s="8" t="s">
        <v>8</v>
      </c>
      <c r="W10" s="15">
        <f>+COUNTIF(H5:H41,"1")</f>
        <v>2</v>
      </c>
    </row>
    <row r="11" spans="1:50" x14ac:dyDescent="0.25">
      <c r="A11" s="3">
        <v>7</v>
      </c>
      <c r="B11" s="29">
        <v>42930</v>
      </c>
      <c r="C11" s="28" t="s">
        <v>23</v>
      </c>
      <c r="D11" s="28">
        <v>1</v>
      </c>
      <c r="E11" s="28"/>
      <c r="F11" s="28"/>
      <c r="G11" s="28"/>
      <c r="H11" s="28"/>
      <c r="I11" s="28"/>
      <c r="J11" s="33" t="s">
        <v>66</v>
      </c>
      <c r="K11" s="33" t="s">
        <v>66</v>
      </c>
      <c r="L11" s="28" t="s">
        <v>25</v>
      </c>
      <c r="M11" s="28" t="s">
        <v>20</v>
      </c>
      <c r="N11" s="28" t="s">
        <v>25</v>
      </c>
      <c r="O11" s="28" t="s">
        <v>25</v>
      </c>
      <c r="P11" s="28" t="s">
        <v>20</v>
      </c>
      <c r="Q11" s="28" t="s">
        <v>26</v>
      </c>
      <c r="R11" s="28" t="s">
        <v>25</v>
      </c>
      <c r="S11" s="28" t="s">
        <v>25</v>
      </c>
      <c r="U11" s="141"/>
      <c r="V11" s="22" t="s">
        <v>9</v>
      </c>
      <c r="W11" s="23">
        <f>+COUNTIF(I5:I40,"1")</f>
        <v>3</v>
      </c>
    </row>
    <row r="12" spans="1:50" ht="15.75" thickBot="1" x14ac:dyDescent="0.3">
      <c r="A12" s="3">
        <v>8</v>
      </c>
      <c r="B12" s="29">
        <v>42930</v>
      </c>
      <c r="C12" s="28" t="s">
        <v>30</v>
      </c>
      <c r="D12" s="28">
        <v>1</v>
      </c>
      <c r="E12" s="28"/>
      <c r="F12" s="28"/>
      <c r="G12" s="28"/>
      <c r="H12" s="28"/>
      <c r="I12" s="28"/>
      <c r="J12" s="33" t="s">
        <v>66</v>
      </c>
      <c r="K12" s="33" t="s">
        <v>66</v>
      </c>
      <c r="L12" s="28" t="s">
        <v>20</v>
      </c>
      <c r="M12" s="28" t="s">
        <v>20</v>
      </c>
      <c r="N12" s="28" t="s">
        <v>25</v>
      </c>
      <c r="O12" s="28" t="s">
        <v>25</v>
      </c>
      <c r="P12" s="28" t="s">
        <v>20</v>
      </c>
      <c r="Q12" s="28" t="s">
        <v>26</v>
      </c>
      <c r="R12" s="28" t="s">
        <v>20</v>
      </c>
      <c r="S12" s="28" t="s">
        <v>25</v>
      </c>
      <c r="U12" s="155"/>
      <c r="V12" s="26" t="s">
        <v>29</v>
      </c>
      <c r="W12" s="16">
        <f>+COUNTIF(I5:I41,"Blanco")</f>
        <v>1</v>
      </c>
    </row>
    <row r="13" spans="1:50" x14ac:dyDescent="0.25">
      <c r="A13" s="3">
        <v>9</v>
      </c>
      <c r="B13" s="29">
        <v>42930</v>
      </c>
      <c r="C13" s="28" t="s">
        <v>30</v>
      </c>
      <c r="D13" s="28">
        <v>1</v>
      </c>
      <c r="E13" s="28"/>
      <c r="F13" s="28"/>
      <c r="G13" s="28"/>
      <c r="H13" s="28"/>
      <c r="I13" s="28"/>
      <c r="J13" s="33" t="s">
        <v>66</v>
      </c>
      <c r="K13" s="33" t="s">
        <v>66</v>
      </c>
      <c r="L13" s="28" t="s">
        <v>25</v>
      </c>
      <c r="M13" s="28" t="s">
        <v>25</v>
      </c>
      <c r="N13" s="28" t="s">
        <v>25</v>
      </c>
      <c r="O13" s="28" t="s">
        <v>25</v>
      </c>
      <c r="P13" s="28" t="s">
        <v>20</v>
      </c>
      <c r="Q13" s="28" t="s">
        <v>28</v>
      </c>
      <c r="R13" s="28" t="s">
        <v>20</v>
      </c>
      <c r="S13" s="28" t="s">
        <v>20</v>
      </c>
      <c r="U13" s="139" t="s">
        <v>35</v>
      </c>
      <c r="V13" s="24" t="s">
        <v>66</v>
      </c>
      <c r="W13" s="25">
        <f>+COUNTIF(K5:K41,"La Paz")</f>
        <v>15</v>
      </c>
    </row>
    <row r="14" spans="1:50" x14ac:dyDescent="0.25">
      <c r="A14" s="3">
        <v>10</v>
      </c>
      <c r="B14" s="29">
        <v>42930</v>
      </c>
      <c r="C14" s="28" t="s">
        <v>23</v>
      </c>
      <c r="D14" s="28"/>
      <c r="E14" s="28"/>
      <c r="F14" s="28"/>
      <c r="G14" s="28">
        <v>1</v>
      </c>
      <c r="H14" s="28"/>
      <c r="I14" s="28"/>
      <c r="J14" s="33" t="s">
        <v>66</v>
      </c>
      <c r="K14" s="33" t="s">
        <v>66</v>
      </c>
      <c r="L14" s="28" t="s">
        <v>25</v>
      </c>
      <c r="M14" s="28" t="s">
        <v>20</v>
      </c>
      <c r="N14" s="28" t="s">
        <v>25</v>
      </c>
      <c r="O14" s="28" t="s">
        <v>25</v>
      </c>
      <c r="P14" s="28" t="s">
        <v>25</v>
      </c>
      <c r="Q14" s="28" t="s">
        <v>26</v>
      </c>
      <c r="R14" s="28" t="s">
        <v>20</v>
      </c>
      <c r="S14" s="28" t="s">
        <v>25</v>
      </c>
      <c r="U14" s="109"/>
      <c r="V14" s="1" t="s">
        <v>67</v>
      </c>
      <c r="W14" s="15">
        <f>+COUNTIF(K5:K41,"Tutule")</f>
        <v>10</v>
      </c>
    </row>
    <row r="15" spans="1:50" ht="15.75" thickBot="1" x14ac:dyDescent="0.3">
      <c r="A15" s="3">
        <v>11</v>
      </c>
      <c r="B15" s="29">
        <v>42930</v>
      </c>
      <c r="C15" s="28" t="s">
        <v>23</v>
      </c>
      <c r="D15" s="28">
        <v>1</v>
      </c>
      <c r="E15" s="28"/>
      <c r="F15" s="28"/>
      <c r="G15" s="28"/>
      <c r="H15" s="28"/>
      <c r="I15" s="28"/>
      <c r="J15" s="33" t="s">
        <v>66</v>
      </c>
      <c r="K15" s="33" t="s">
        <v>66</v>
      </c>
      <c r="L15" s="28" t="s">
        <v>20</v>
      </c>
      <c r="M15" s="28" t="s">
        <v>20</v>
      </c>
      <c r="N15" s="28" t="s">
        <v>25</v>
      </c>
      <c r="O15" s="28" t="s">
        <v>25</v>
      </c>
      <c r="P15" s="28" t="s">
        <v>20</v>
      </c>
      <c r="Q15" s="28" t="s">
        <v>27</v>
      </c>
      <c r="R15" s="28" t="s">
        <v>20</v>
      </c>
      <c r="S15" s="28" t="s">
        <v>25</v>
      </c>
      <c r="U15" s="110"/>
      <c r="V15" s="27" t="s">
        <v>68</v>
      </c>
      <c r="W15" s="16">
        <f>+COUNTIF(K5:K41,"Marcala")</f>
        <v>10</v>
      </c>
    </row>
    <row r="16" spans="1:50" ht="15" customHeight="1" x14ac:dyDescent="0.25">
      <c r="A16" s="3">
        <v>12</v>
      </c>
      <c r="B16" s="29">
        <v>42930</v>
      </c>
      <c r="C16" s="28" t="s">
        <v>23</v>
      </c>
      <c r="D16" s="28"/>
      <c r="E16" s="28">
        <v>1</v>
      </c>
      <c r="F16" s="28"/>
      <c r="G16" s="28"/>
      <c r="H16" s="28"/>
      <c r="I16" s="28"/>
      <c r="J16" s="33" t="s">
        <v>66</v>
      </c>
      <c r="K16" s="33" t="s">
        <v>66</v>
      </c>
      <c r="L16" s="28" t="s">
        <v>20</v>
      </c>
      <c r="M16" s="28" t="s">
        <v>20</v>
      </c>
      <c r="N16" s="28" t="s">
        <v>20</v>
      </c>
      <c r="O16" s="28" t="s">
        <v>20</v>
      </c>
      <c r="P16" s="28" t="s">
        <v>20</v>
      </c>
      <c r="Q16" s="28" t="s">
        <v>26</v>
      </c>
      <c r="R16" s="28" t="s">
        <v>20</v>
      </c>
      <c r="S16" s="28" t="s">
        <v>25</v>
      </c>
      <c r="U16" s="137" t="s">
        <v>36</v>
      </c>
      <c r="V16" s="12" t="s">
        <v>20</v>
      </c>
      <c r="W16" s="14">
        <f>+COUNTIF(L5:L41,"Si")</f>
        <v>13</v>
      </c>
      <c r="X16" s="125" t="s">
        <v>118</v>
      </c>
      <c r="Y16" s="48" t="s">
        <v>114</v>
      </c>
      <c r="Z16" s="49">
        <f>COUNTIFS($C$5:$C$65,"M",$L$5:$L$65,"Si")</f>
        <v>4</v>
      </c>
      <c r="AA16" s="125" t="s">
        <v>117</v>
      </c>
      <c r="AB16" s="48" t="s">
        <v>114</v>
      </c>
      <c r="AC16" s="55">
        <f>COUNTIFS($C$5:$C$65,"M",$L$5:$L$65,"No")</f>
        <v>8</v>
      </c>
      <c r="AD16" s="125" t="s">
        <v>118</v>
      </c>
      <c r="AE16" s="48" t="s">
        <v>4</v>
      </c>
      <c r="AF16" s="48">
        <f>COUNTIFS($D$5:$D$65,"1",$L$5:$L$65,"Si")</f>
        <v>5</v>
      </c>
      <c r="AG16" s="48" t="s">
        <v>7</v>
      </c>
      <c r="AH16" s="48">
        <f>COUNTIFS($G$5:$G$65,"1",$L$5:$L$65,"Si")</f>
        <v>0</v>
      </c>
      <c r="AI16" s="48" t="s">
        <v>29</v>
      </c>
      <c r="AJ16" s="49">
        <f>COUNTIFS($I$5:$I$65,"Blanco",$L$5:$L$65,"Si")</f>
        <v>1</v>
      </c>
      <c r="AK16" s="50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x14ac:dyDescent="0.25">
      <c r="A17" s="3">
        <v>13</v>
      </c>
      <c r="B17" s="29">
        <v>42930</v>
      </c>
      <c r="C17" s="28" t="s">
        <v>23</v>
      </c>
      <c r="D17" s="28"/>
      <c r="E17" s="28"/>
      <c r="F17" s="28">
        <v>1</v>
      </c>
      <c r="G17" s="28"/>
      <c r="H17" s="28"/>
      <c r="I17" s="28"/>
      <c r="J17" s="33" t="s">
        <v>66</v>
      </c>
      <c r="K17" s="33" t="s">
        <v>66</v>
      </c>
      <c r="L17" s="28" t="s">
        <v>20</v>
      </c>
      <c r="M17" s="28" t="s">
        <v>20</v>
      </c>
      <c r="N17" s="28" t="s">
        <v>25</v>
      </c>
      <c r="O17" s="28" t="s">
        <v>25</v>
      </c>
      <c r="P17" s="28" t="s">
        <v>25</v>
      </c>
      <c r="Q17" s="28" t="s">
        <v>26</v>
      </c>
      <c r="R17" s="28" t="s">
        <v>25</v>
      </c>
      <c r="S17" s="28" t="s">
        <v>25</v>
      </c>
      <c r="U17" s="109"/>
      <c r="V17" s="9" t="s">
        <v>25</v>
      </c>
      <c r="W17" s="15">
        <f>+COUNTIF(L5:L41,"No")</f>
        <v>22</v>
      </c>
      <c r="X17" s="126"/>
      <c r="Y17" s="6" t="s">
        <v>115</v>
      </c>
      <c r="Z17" s="51">
        <f>COUNTIFS($C$5:$C$65,"F",$L$5:$L$65,"Si")</f>
        <v>9</v>
      </c>
      <c r="AA17" s="126"/>
      <c r="AB17" s="6" t="s">
        <v>115</v>
      </c>
      <c r="AC17" s="57">
        <f>COUNTIFS($C$5:$C$65,"F",$L$5:$L$65,"No")</f>
        <v>14</v>
      </c>
      <c r="AD17" s="126"/>
      <c r="AE17" s="6" t="s">
        <v>5</v>
      </c>
      <c r="AF17" s="6">
        <f>COUNTIFS($E$5:$E$65,"1",$L$5:$L$65,"Si")</f>
        <v>3</v>
      </c>
      <c r="AG17" s="39" t="s">
        <v>8</v>
      </c>
      <c r="AH17" s="6">
        <f>COUNTIFS($H$5:$H$65,"1",$L$5:$L$65,"Si")</f>
        <v>1</v>
      </c>
      <c r="AI17" s="6"/>
      <c r="AJ17" s="51"/>
      <c r="AK17" s="50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5.75" thickBot="1" x14ac:dyDescent="0.3">
      <c r="A18" s="3">
        <v>14</v>
      </c>
      <c r="B18" s="29">
        <v>42930</v>
      </c>
      <c r="C18" s="28" t="s">
        <v>23</v>
      </c>
      <c r="D18" s="28"/>
      <c r="E18" s="28"/>
      <c r="F18" s="28">
        <v>1</v>
      </c>
      <c r="G18" s="28"/>
      <c r="H18" s="28"/>
      <c r="I18" s="28"/>
      <c r="J18" s="33" t="s">
        <v>66</v>
      </c>
      <c r="K18" s="33" t="s">
        <v>66</v>
      </c>
      <c r="L18" s="28" t="s">
        <v>25</v>
      </c>
      <c r="M18" s="28" t="s">
        <v>25</v>
      </c>
      <c r="N18" s="28" t="s">
        <v>25</v>
      </c>
      <c r="O18" s="28" t="s">
        <v>25</v>
      </c>
      <c r="P18" s="28" t="s">
        <v>25</v>
      </c>
      <c r="Q18" s="28" t="s">
        <v>34</v>
      </c>
      <c r="R18" s="28" t="s">
        <v>20</v>
      </c>
      <c r="S18" s="28" t="s">
        <v>20</v>
      </c>
      <c r="U18" s="110"/>
      <c r="V18" s="13" t="s">
        <v>29</v>
      </c>
      <c r="W18" s="16">
        <f>+COUNTIF(L5:L41,"Blanco")</f>
        <v>0</v>
      </c>
      <c r="X18" s="127"/>
      <c r="Y18" s="26" t="s">
        <v>29</v>
      </c>
      <c r="Z18" s="52">
        <f>COUNTIFS($C$5:$C$65,"Blanco",$L$5:$L$65,"Si")</f>
        <v>0</v>
      </c>
      <c r="AA18" s="127"/>
      <c r="AB18" s="26" t="s">
        <v>29</v>
      </c>
      <c r="AC18" s="58">
        <f>COUNTIFS($C$5:$C$65,"Blanco",$L$5:$L$65,"No")</f>
        <v>0</v>
      </c>
      <c r="AD18" s="127"/>
      <c r="AE18" s="26" t="s">
        <v>6</v>
      </c>
      <c r="AF18" s="26">
        <f>COUNTIFS($F$5:$F$65,"1",$L$5:$L$65,"Si")</f>
        <v>3</v>
      </c>
      <c r="AG18" s="26" t="s">
        <v>9</v>
      </c>
      <c r="AH18" s="26">
        <f>COUNTIFS($I$5:$I$65,"1",$L$5:$L$65,"Si")</f>
        <v>0</v>
      </c>
      <c r="AI18" s="26"/>
      <c r="AJ18" s="52"/>
      <c r="AK18" s="50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x14ac:dyDescent="0.25">
      <c r="A19" s="3">
        <v>15</v>
      </c>
      <c r="B19" s="29">
        <v>42930</v>
      </c>
      <c r="C19" s="28" t="s">
        <v>30</v>
      </c>
      <c r="D19" s="28"/>
      <c r="E19" s="28"/>
      <c r="F19" s="28">
        <v>1</v>
      </c>
      <c r="G19" s="28"/>
      <c r="H19" s="28"/>
      <c r="I19" s="28"/>
      <c r="J19" s="33" t="s">
        <v>66</v>
      </c>
      <c r="K19" s="33" t="s">
        <v>66</v>
      </c>
      <c r="L19" s="28" t="s">
        <v>20</v>
      </c>
      <c r="M19" s="28" t="s">
        <v>20</v>
      </c>
      <c r="N19" s="28" t="s">
        <v>25</v>
      </c>
      <c r="O19" s="28" t="s">
        <v>25</v>
      </c>
      <c r="P19" s="28" t="s">
        <v>25</v>
      </c>
      <c r="Q19" s="28" t="s">
        <v>27</v>
      </c>
      <c r="R19" s="28" t="s">
        <v>25</v>
      </c>
      <c r="S19" s="28" t="s">
        <v>25</v>
      </c>
      <c r="U19" s="137" t="s">
        <v>37</v>
      </c>
      <c r="V19" s="12" t="s">
        <v>20</v>
      </c>
      <c r="W19" s="14">
        <f>+COUNTIF(M5:M41,"Si")</f>
        <v>23</v>
      </c>
      <c r="X19" s="125" t="s">
        <v>118</v>
      </c>
      <c r="Y19" s="48" t="s">
        <v>114</v>
      </c>
      <c r="Z19" s="49">
        <f>COUNTIFS($C$5:$C$65,"M",$M$5:$M$65,"Si")</f>
        <v>9</v>
      </c>
      <c r="AA19" s="125" t="s">
        <v>117</v>
      </c>
      <c r="AB19" s="48" t="s">
        <v>114</v>
      </c>
      <c r="AC19" s="55">
        <f>COUNTIFS($C$5:$C$65,"M",$M$5:$M$65,"No")</f>
        <v>3</v>
      </c>
      <c r="AD19" s="132" t="s">
        <v>118</v>
      </c>
      <c r="AE19" s="61" t="s">
        <v>4</v>
      </c>
      <c r="AF19" s="48">
        <f>COUNTIFS($D$5:$D$65,"1",$M$5:$M$65,"Si")</f>
        <v>7</v>
      </c>
      <c r="AG19" s="61" t="s">
        <v>7</v>
      </c>
      <c r="AH19" s="48">
        <f>COUNTIFS($G$5:$G$65,"1",$M$5:$M$65,"Si")</f>
        <v>2</v>
      </c>
      <c r="AI19" s="61" t="s">
        <v>29</v>
      </c>
      <c r="AJ19" s="49">
        <f>COUNTIFS($I$5:$I$65,"Blanco",$M$5:$M$65,"Si")</f>
        <v>1</v>
      </c>
      <c r="AK19" s="50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x14ac:dyDescent="0.25">
      <c r="A20" s="3">
        <v>16</v>
      </c>
      <c r="B20" s="29">
        <v>42930</v>
      </c>
      <c r="C20" s="28" t="s">
        <v>23</v>
      </c>
      <c r="D20" s="28"/>
      <c r="E20" s="28"/>
      <c r="F20" s="28"/>
      <c r="G20" s="28"/>
      <c r="H20" s="28">
        <v>1</v>
      </c>
      <c r="I20" s="28"/>
      <c r="J20" s="33" t="s">
        <v>66</v>
      </c>
      <c r="K20" s="28" t="s">
        <v>67</v>
      </c>
      <c r="L20" s="28" t="s">
        <v>20</v>
      </c>
      <c r="M20" s="28" t="s">
        <v>20</v>
      </c>
      <c r="N20" s="28" t="s">
        <v>25</v>
      </c>
      <c r="O20" s="28" t="s">
        <v>20</v>
      </c>
      <c r="P20" s="28" t="s">
        <v>25</v>
      </c>
      <c r="Q20" s="28" t="s">
        <v>27</v>
      </c>
      <c r="R20" s="28" t="s">
        <v>20</v>
      </c>
      <c r="S20" s="28" t="s">
        <v>25</v>
      </c>
      <c r="U20" s="109"/>
      <c r="V20" s="9" t="s">
        <v>25</v>
      </c>
      <c r="W20" s="15">
        <f>+COUNTIF(M5:M41,"No")</f>
        <v>12</v>
      </c>
      <c r="X20" s="126"/>
      <c r="Y20" s="6" t="s">
        <v>115</v>
      </c>
      <c r="Z20" s="51">
        <f>COUNTIFS($C$5:$C$65,"F",$M$5:$M$65,"Si")</f>
        <v>14</v>
      </c>
      <c r="AA20" s="126"/>
      <c r="AB20" s="6" t="s">
        <v>115</v>
      </c>
      <c r="AC20" s="57">
        <f>COUNTIFS($C$5:$C$65,"F",$M$5:$M$65,"No")</f>
        <v>9</v>
      </c>
      <c r="AD20" s="126"/>
      <c r="AE20" s="6" t="s">
        <v>5</v>
      </c>
      <c r="AF20" s="6">
        <f>COUNTIFS($E$5:$E$65,"1",$M$5:$M$65,"Si")</f>
        <v>5</v>
      </c>
      <c r="AG20" s="39" t="s">
        <v>8</v>
      </c>
      <c r="AH20" s="6">
        <f>COUNTIFS($H$5:$H$65,"1",$M$5:$M$65,"Si")</f>
        <v>1</v>
      </c>
      <c r="AI20" s="6"/>
      <c r="AJ20" s="51"/>
      <c r="AK20" s="50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5.75" thickBot="1" x14ac:dyDescent="0.3">
      <c r="A21" s="3">
        <v>17</v>
      </c>
      <c r="B21" s="29">
        <v>42930</v>
      </c>
      <c r="C21" s="28" t="s">
        <v>23</v>
      </c>
      <c r="D21" s="28"/>
      <c r="E21" s="28">
        <v>1</v>
      </c>
      <c r="F21" s="28"/>
      <c r="G21" s="28"/>
      <c r="H21" s="28"/>
      <c r="I21" s="28"/>
      <c r="J21" s="33" t="s">
        <v>66</v>
      </c>
      <c r="K21" s="28" t="s">
        <v>67</v>
      </c>
      <c r="L21" s="28" t="s">
        <v>20</v>
      </c>
      <c r="M21" s="28" t="s">
        <v>20</v>
      </c>
      <c r="N21" s="28" t="s">
        <v>25</v>
      </c>
      <c r="O21" s="28" t="s">
        <v>20</v>
      </c>
      <c r="P21" s="28" t="s">
        <v>25</v>
      </c>
      <c r="Q21" s="28" t="s">
        <v>27</v>
      </c>
      <c r="R21" s="28" t="s">
        <v>20</v>
      </c>
      <c r="S21" s="28" t="s">
        <v>20</v>
      </c>
      <c r="U21" s="110"/>
      <c r="V21" s="13" t="s">
        <v>29</v>
      </c>
      <c r="W21" s="16">
        <f>+COUNTIF(M5:M41,"Blanco")</f>
        <v>0</v>
      </c>
      <c r="X21" s="127"/>
      <c r="Y21" s="26" t="s">
        <v>29</v>
      </c>
      <c r="Z21" s="52">
        <f>COUNTIFS($C$5:$C$65,"Blanco",$M$5:$M$65,"Si")</f>
        <v>0</v>
      </c>
      <c r="AA21" s="127"/>
      <c r="AB21" s="26" t="s">
        <v>29</v>
      </c>
      <c r="AC21" s="58">
        <f>COUNTIFS($C$5:$C$65,"Blanco",$M$5:$M$65,"No")</f>
        <v>0</v>
      </c>
      <c r="AD21" s="127"/>
      <c r="AE21" s="26" t="s">
        <v>6</v>
      </c>
      <c r="AF21" s="26">
        <f>COUNTIFS($F$5:$F$65,"1",$M$5:$M$65,"Si")</f>
        <v>6</v>
      </c>
      <c r="AG21" s="26" t="s">
        <v>9</v>
      </c>
      <c r="AH21" s="26">
        <f>COUNTIFS($I$5:$I$65,"1",$M$5:$M$65,"Si")</f>
        <v>1</v>
      </c>
      <c r="AI21" s="26"/>
      <c r="AJ21" s="52"/>
      <c r="AK21" s="50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x14ac:dyDescent="0.25">
      <c r="A22" s="3">
        <v>18</v>
      </c>
      <c r="B22" s="29">
        <v>42930</v>
      </c>
      <c r="C22" s="28" t="s">
        <v>23</v>
      </c>
      <c r="D22" s="28"/>
      <c r="E22" s="28"/>
      <c r="F22" s="28"/>
      <c r="G22" s="28"/>
      <c r="H22" s="28">
        <v>1</v>
      </c>
      <c r="I22" s="28"/>
      <c r="J22" s="33" t="s">
        <v>66</v>
      </c>
      <c r="K22" s="28" t="s">
        <v>67</v>
      </c>
      <c r="L22" s="28" t="s">
        <v>25</v>
      </c>
      <c r="M22" s="28" t="s">
        <v>25</v>
      </c>
      <c r="N22" s="28" t="s">
        <v>25</v>
      </c>
      <c r="O22" s="28" t="s">
        <v>25</v>
      </c>
      <c r="P22" s="20" t="s">
        <v>29</v>
      </c>
      <c r="Q22" s="28" t="s">
        <v>26</v>
      </c>
      <c r="R22" s="28" t="s">
        <v>25</v>
      </c>
      <c r="S22" s="28" t="s">
        <v>25</v>
      </c>
      <c r="U22" s="137" t="s">
        <v>38</v>
      </c>
      <c r="V22" s="12" t="s">
        <v>20</v>
      </c>
      <c r="W22" s="14">
        <f>+COUNTIF(N5:N41,"Si")</f>
        <v>5</v>
      </c>
      <c r="X22" s="125" t="s">
        <v>118</v>
      </c>
      <c r="Y22" s="48" t="s">
        <v>114</v>
      </c>
      <c r="Z22" s="49">
        <f>COUNTIFS($C$5:$C$65,"M",$N$5:$N$65,"Si")</f>
        <v>1</v>
      </c>
      <c r="AA22" s="125" t="s">
        <v>117</v>
      </c>
      <c r="AB22" s="48" t="s">
        <v>114</v>
      </c>
      <c r="AC22" s="55">
        <f>COUNTIFS($C$5:$C$65,"M",$N$5:$N$65,"No")</f>
        <v>11</v>
      </c>
      <c r="AD22" s="125" t="s">
        <v>117</v>
      </c>
      <c r="AE22" s="48" t="s">
        <v>4</v>
      </c>
      <c r="AF22" s="48">
        <f>COUNTIFS($D$5:$D$65,"1",$N$5:$N$65,"No")</f>
        <v>11</v>
      </c>
      <c r="AG22" s="48" t="s">
        <v>7</v>
      </c>
      <c r="AH22" s="48">
        <f>COUNTIFS($G$5:$G$65,"1",$N$5:$N$65,"No")</f>
        <v>2</v>
      </c>
      <c r="AI22" s="48" t="s">
        <v>29</v>
      </c>
      <c r="AJ22" s="49">
        <f>COUNTIFS($I$5:$I$65,"Blanco",$N$5:$N$65,"No")</f>
        <v>1</v>
      </c>
      <c r="AK22" s="50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x14ac:dyDescent="0.25">
      <c r="A23" s="3">
        <v>19</v>
      </c>
      <c r="B23" s="29">
        <v>42930</v>
      </c>
      <c r="C23" s="28" t="s">
        <v>30</v>
      </c>
      <c r="D23" s="28"/>
      <c r="E23" s="28"/>
      <c r="F23" s="28"/>
      <c r="G23" s="28">
        <v>1</v>
      </c>
      <c r="H23" s="28"/>
      <c r="I23" s="28"/>
      <c r="J23" s="33" t="s">
        <v>66</v>
      </c>
      <c r="K23" s="28" t="s">
        <v>67</v>
      </c>
      <c r="L23" s="28" t="s">
        <v>25</v>
      </c>
      <c r="M23" s="28" t="s">
        <v>20</v>
      </c>
      <c r="N23" s="28" t="s">
        <v>25</v>
      </c>
      <c r="O23" s="28" t="s">
        <v>20</v>
      </c>
      <c r="P23" s="28" t="s">
        <v>25</v>
      </c>
      <c r="Q23" s="28" t="s">
        <v>27</v>
      </c>
      <c r="R23" s="28" t="s">
        <v>20</v>
      </c>
      <c r="S23" s="28" t="s">
        <v>25</v>
      </c>
      <c r="U23" s="109"/>
      <c r="V23" s="9" t="s">
        <v>25</v>
      </c>
      <c r="W23" s="15">
        <f>+COUNTIF(N5:N41,"No")</f>
        <v>30</v>
      </c>
      <c r="X23" s="126"/>
      <c r="Y23" s="6" t="s">
        <v>115</v>
      </c>
      <c r="Z23" s="51">
        <f>COUNTIFS($C$5:$C$65,"F",$N$5:$N$65,"Si")</f>
        <v>4</v>
      </c>
      <c r="AA23" s="126"/>
      <c r="AB23" s="6" t="s">
        <v>115</v>
      </c>
      <c r="AC23" s="57">
        <f>COUNTIFS($C$5:$C$65,"F",$N$5:$N$65,"No")</f>
        <v>19</v>
      </c>
      <c r="AD23" s="126"/>
      <c r="AE23" s="6" t="s">
        <v>5</v>
      </c>
      <c r="AF23" s="6">
        <f>COUNTIFS($E$5:$E$65,"1",$N$5:$N$65,"No")</f>
        <v>5</v>
      </c>
      <c r="AG23" s="39" t="s">
        <v>8</v>
      </c>
      <c r="AH23" s="6">
        <f>COUNTIFS($H$5:$H$65,"1",$N$5:$N$65,"No")</f>
        <v>2</v>
      </c>
      <c r="AI23" s="6"/>
      <c r="AJ23" s="51"/>
      <c r="AK23" s="50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5.75" thickBot="1" x14ac:dyDescent="0.3">
      <c r="A24" s="3">
        <v>20</v>
      </c>
      <c r="B24" s="29">
        <v>42930</v>
      </c>
      <c r="C24" s="28" t="s">
        <v>30</v>
      </c>
      <c r="D24" s="28"/>
      <c r="E24" s="28">
        <v>1</v>
      </c>
      <c r="F24" s="28"/>
      <c r="G24" s="28"/>
      <c r="H24" s="28"/>
      <c r="I24" s="28"/>
      <c r="J24" s="33" t="s">
        <v>66</v>
      </c>
      <c r="K24" s="28" t="s">
        <v>67</v>
      </c>
      <c r="L24" s="28" t="s">
        <v>25</v>
      </c>
      <c r="M24" s="28" t="s">
        <v>20</v>
      </c>
      <c r="N24" s="28" t="s">
        <v>25</v>
      </c>
      <c r="O24" s="28" t="s">
        <v>20</v>
      </c>
      <c r="P24" s="28" t="s">
        <v>25</v>
      </c>
      <c r="Q24" s="28" t="s">
        <v>27</v>
      </c>
      <c r="R24" s="28" t="s">
        <v>20</v>
      </c>
      <c r="S24" s="28" t="s">
        <v>25</v>
      </c>
      <c r="U24" s="110"/>
      <c r="V24" s="13" t="s">
        <v>29</v>
      </c>
      <c r="W24" s="16">
        <f>+COUNTIF(N5:N41,"Blanco")</f>
        <v>0</v>
      </c>
      <c r="X24" s="127"/>
      <c r="Y24" s="26" t="s">
        <v>29</v>
      </c>
      <c r="Z24" s="52">
        <f>COUNTIFS($C$5:$C$65,"Blanco",$N$5:$N$65,"Si")</f>
        <v>0</v>
      </c>
      <c r="AA24" s="127"/>
      <c r="AB24" s="26" t="s">
        <v>29</v>
      </c>
      <c r="AC24" s="58">
        <f>COUNTIFS($C$5:$C$65,"Blanco",$N$5:$N$65,"No")</f>
        <v>0</v>
      </c>
      <c r="AD24" s="127"/>
      <c r="AE24" s="26" t="s">
        <v>6</v>
      </c>
      <c r="AF24" s="26">
        <f>COUNTIFS($F$5:$F$65,"1",$N$5:$N$65,"No")</f>
        <v>6</v>
      </c>
      <c r="AG24" s="26" t="s">
        <v>9</v>
      </c>
      <c r="AH24" s="26">
        <f>COUNTIFS($I$5:$I$65,"1",$N$5:$N$65,"No")</f>
        <v>3</v>
      </c>
      <c r="AI24" s="26"/>
      <c r="AJ24" s="52"/>
      <c r="AK24" s="50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x14ac:dyDescent="0.25">
      <c r="A25" s="3">
        <v>21</v>
      </c>
      <c r="B25" s="29">
        <v>42930</v>
      </c>
      <c r="C25" s="28" t="s">
        <v>30</v>
      </c>
      <c r="D25" s="28"/>
      <c r="E25" s="28"/>
      <c r="F25" s="28">
        <v>1</v>
      </c>
      <c r="G25" s="28"/>
      <c r="H25" s="28"/>
      <c r="I25" s="28"/>
      <c r="J25" s="33" t="s">
        <v>66</v>
      </c>
      <c r="K25" s="28" t="s">
        <v>67</v>
      </c>
      <c r="L25" s="28" t="s">
        <v>25</v>
      </c>
      <c r="M25" s="28" t="s">
        <v>20</v>
      </c>
      <c r="N25" s="28" t="s">
        <v>25</v>
      </c>
      <c r="O25" s="28" t="s">
        <v>25</v>
      </c>
      <c r="P25" s="28" t="s">
        <v>25</v>
      </c>
      <c r="Q25" s="28" t="s">
        <v>28</v>
      </c>
      <c r="R25" s="28" t="s">
        <v>20</v>
      </c>
      <c r="S25" s="28" t="s">
        <v>25</v>
      </c>
      <c r="U25" s="137" t="s">
        <v>39</v>
      </c>
      <c r="V25" s="12" t="s">
        <v>20</v>
      </c>
      <c r="W25" s="14">
        <f>+COUNTIF(O5:O41,"Si")</f>
        <v>8</v>
      </c>
      <c r="X25" s="125" t="s">
        <v>118</v>
      </c>
      <c r="Y25" s="48" t="s">
        <v>114</v>
      </c>
      <c r="Z25" s="49">
        <f>COUNTIFS($C$5:$C$65,"M",$O$5:O65,"Si")</f>
        <v>4</v>
      </c>
      <c r="AA25" s="128" t="s">
        <v>117</v>
      </c>
      <c r="AB25" s="19" t="s">
        <v>114</v>
      </c>
      <c r="AC25" s="65">
        <f>COUNTIFS($C$5:$C$65,"M",$O$5:$O$65,"No")</f>
        <v>8</v>
      </c>
      <c r="AD25" s="128" t="s">
        <v>117</v>
      </c>
      <c r="AE25" s="19" t="s">
        <v>4</v>
      </c>
      <c r="AF25" s="19">
        <f>COUNTIFS($D$5:$D$65,"1",$O$5:$O$65,"No")</f>
        <v>10</v>
      </c>
      <c r="AG25" s="19" t="s">
        <v>7</v>
      </c>
      <c r="AH25" s="19">
        <f>COUNTIFS($G$5:$G$65,"1",$O$5:$O$65,"No")</f>
        <v>2</v>
      </c>
      <c r="AI25" s="19" t="s">
        <v>29</v>
      </c>
      <c r="AJ25" s="66">
        <f>COUNTIFS($I$5:$I$65,"Blanco",$O$5:$O$65,"No")</f>
        <v>1</v>
      </c>
      <c r="AK25" s="50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x14ac:dyDescent="0.25">
      <c r="A26" s="3">
        <v>22</v>
      </c>
      <c r="B26" s="29">
        <v>42930</v>
      </c>
      <c r="C26" s="28" t="s">
        <v>23</v>
      </c>
      <c r="D26" s="28">
        <v>1</v>
      </c>
      <c r="E26" s="28"/>
      <c r="F26" s="28"/>
      <c r="G26" s="28"/>
      <c r="H26" s="28"/>
      <c r="I26" s="28"/>
      <c r="J26" s="33" t="s">
        <v>66</v>
      </c>
      <c r="K26" s="28" t="s">
        <v>67</v>
      </c>
      <c r="L26" s="28" t="s">
        <v>25</v>
      </c>
      <c r="M26" s="28" t="s">
        <v>25</v>
      </c>
      <c r="N26" s="28" t="s">
        <v>25</v>
      </c>
      <c r="O26" s="28" t="s">
        <v>25</v>
      </c>
      <c r="P26" s="28" t="s">
        <v>25</v>
      </c>
      <c r="Q26" s="28" t="s">
        <v>27</v>
      </c>
      <c r="R26" s="28" t="s">
        <v>25</v>
      </c>
      <c r="S26" s="28" t="s">
        <v>25</v>
      </c>
      <c r="U26" s="109"/>
      <c r="V26" s="9" t="s">
        <v>25</v>
      </c>
      <c r="W26" s="15">
        <f>+COUNTIF(O5:O41,"No")</f>
        <v>27</v>
      </c>
      <c r="X26" s="126"/>
      <c r="Y26" s="6" t="s">
        <v>115</v>
      </c>
      <c r="Z26" s="51">
        <f>COUNTIFS($C$5:$C$65,"F",$O$5:$O$65,"Si")</f>
        <v>4</v>
      </c>
      <c r="AA26" s="129"/>
      <c r="AB26" s="35" t="s">
        <v>115</v>
      </c>
      <c r="AC26" s="67">
        <f>COUNTIFS($C$2:$C$65,"F",$O$2:$O$65,"No")</f>
        <v>19</v>
      </c>
      <c r="AD26" s="129"/>
      <c r="AE26" s="35" t="s">
        <v>5</v>
      </c>
      <c r="AF26" s="35">
        <f>COUNTIFS($E$5:$E$65,"1",$O$5:$O$65,"No")</f>
        <v>3</v>
      </c>
      <c r="AG26" s="9" t="s">
        <v>8</v>
      </c>
      <c r="AH26" s="35">
        <f>COUNTIFS($H$5:$H$65,"1",$O$5:$O$65,"No")</f>
        <v>1</v>
      </c>
      <c r="AI26" s="35"/>
      <c r="AJ26" s="68"/>
      <c r="AK26" s="50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5.75" thickBot="1" x14ac:dyDescent="0.3">
      <c r="A27" s="3">
        <v>23</v>
      </c>
      <c r="B27" s="29">
        <v>42930</v>
      </c>
      <c r="C27" s="28" t="s">
        <v>23</v>
      </c>
      <c r="D27" s="28">
        <v>1</v>
      </c>
      <c r="E27" s="28"/>
      <c r="F27" s="28"/>
      <c r="G27" s="28"/>
      <c r="H27" s="28"/>
      <c r="I27" s="28"/>
      <c r="J27" s="33" t="s">
        <v>66</v>
      </c>
      <c r="K27" s="28" t="s">
        <v>67</v>
      </c>
      <c r="L27" s="28" t="s">
        <v>25</v>
      </c>
      <c r="M27" s="28" t="s">
        <v>25</v>
      </c>
      <c r="N27" s="28" t="s">
        <v>25</v>
      </c>
      <c r="O27" s="28" t="s">
        <v>25</v>
      </c>
      <c r="P27" s="28" t="s">
        <v>25</v>
      </c>
      <c r="Q27" s="28" t="s">
        <v>34</v>
      </c>
      <c r="R27" s="28" t="s">
        <v>25</v>
      </c>
      <c r="S27" s="28" t="s">
        <v>25</v>
      </c>
      <c r="U27" s="110"/>
      <c r="V27" s="13" t="s">
        <v>29</v>
      </c>
      <c r="W27" s="16">
        <f>+COUNTIF(O5:O41,"Blanco")</f>
        <v>0</v>
      </c>
      <c r="X27" s="127"/>
      <c r="Y27" s="26" t="s">
        <v>29</v>
      </c>
      <c r="Z27" s="52">
        <f>COUNTIFS($C$5:$C$65,"Blanco",$O$5:$O$65,"Si")</f>
        <v>0</v>
      </c>
      <c r="AA27" s="130"/>
      <c r="AB27" s="27" t="s">
        <v>29</v>
      </c>
      <c r="AC27" s="69">
        <f>COUNTIFS($C$2:$C$65,"Blanco",$O$2:$O$65,"No")</f>
        <v>0</v>
      </c>
      <c r="AD27" s="130"/>
      <c r="AE27" s="27" t="s">
        <v>6</v>
      </c>
      <c r="AF27" s="27">
        <f>COUNTIFS($F$5:$F$65,"1",$O$5:$O$65,"No")</f>
        <v>7</v>
      </c>
      <c r="AG27" s="27" t="s">
        <v>9</v>
      </c>
      <c r="AH27" s="27">
        <f>COUNTIFS($I$5:$I$65,"1",$O$5:$O$65,"No")</f>
        <v>3</v>
      </c>
      <c r="AI27" s="27"/>
      <c r="AJ27" s="70"/>
      <c r="AK27" s="50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x14ac:dyDescent="0.25">
      <c r="A28" s="3">
        <v>24</v>
      </c>
      <c r="B28" s="29">
        <v>42930</v>
      </c>
      <c r="C28" s="28" t="s">
        <v>23</v>
      </c>
      <c r="D28" s="28">
        <v>1</v>
      </c>
      <c r="E28" s="28"/>
      <c r="F28" s="28"/>
      <c r="G28" s="28"/>
      <c r="H28" s="28"/>
      <c r="I28" s="28"/>
      <c r="J28" s="33" t="s">
        <v>66</v>
      </c>
      <c r="K28" s="28" t="s">
        <v>67</v>
      </c>
      <c r="L28" s="28" t="s">
        <v>25</v>
      </c>
      <c r="M28" s="28" t="s">
        <v>25</v>
      </c>
      <c r="N28" s="28" t="s">
        <v>25</v>
      </c>
      <c r="O28" s="28" t="s">
        <v>25</v>
      </c>
      <c r="P28" s="28" t="s">
        <v>25</v>
      </c>
      <c r="Q28" s="28" t="s">
        <v>34</v>
      </c>
      <c r="R28" s="28" t="s">
        <v>25</v>
      </c>
      <c r="S28" s="28" t="s">
        <v>25</v>
      </c>
      <c r="U28" s="137" t="s">
        <v>40</v>
      </c>
      <c r="V28" s="12" t="s">
        <v>20</v>
      </c>
      <c r="W28" s="14">
        <f>+COUNTIF(P5:P41,"Si")</f>
        <v>5</v>
      </c>
      <c r="X28" s="125" t="s">
        <v>118</v>
      </c>
      <c r="Y28" s="48" t="s">
        <v>114</v>
      </c>
      <c r="Z28" s="49">
        <f>COUNTIFS($C$5:$C$65,"M",$P$5:$P$65,"Si")</f>
        <v>2</v>
      </c>
      <c r="AA28" s="128" t="s">
        <v>117</v>
      </c>
      <c r="AB28" s="19" t="s">
        <v>114</v>
      </c>
      <c r="AC28" s="65">
        <f>COUNTIFS($C$5:$C$65,"M",$P$5:$P$65,"No")</f>
        <v>10</v>
      </c>
      <c r="AD28" s="128" t="s">
        <v>117</v>
      </c>
      <c r="AE28" s="19" t="s">
        <v>4</v>
      </c>
      <c r="AF28" s="19">
        <f>COUNTIFS($D$5:$D$65,"1",$P$5:$P$65,"No")</f>
        <v>8</v>
      </c>
      <c r="AG28" s="19" t="s">
        <v>7</v>
      </c>
      <c r="AH28" s="19">
        <f>COUNTIFS($G$5:$G$65,"1",$P$5:$P$65,"No")</f>
        <v>3</v>
      </c>
      <c r="AI28" s="19" t="s">
        <v>29</v>
      </c>
      <c r="AJ28" s="66">
        <f>COUNTIFS($I$5:$I$65,"Blanco",$P$5:$P$65,"No")</f>
        <v>1</v>
      </c>
      <c r="AK28" s="50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x14ac:dyDescent="0.25">
      <c r="A29" s="3">
        <v>25</v>
      </c>
      <c r="B29" s="29">
        <v>42930</v>
      </c>
      <c r="C29" s="28" t="s">
        <v>23</v>
      </c>
      <c r="D29" s="28"/>
      <c r="E29" s="28"/>
      <c r="F29" s="28">
        <v>1</v>
      </c>
      <c r="G29" s="28"/>
      <c r="H29" s="28"/>
      <c r="I29" s="28"/>
      <c r="J29" s="33" t="s">
        <v>66</v>
      </c>
      <c r="K29" s="28" t="s">
        <v>67</v>
      </c>
      <c r="L29" s="28" t="s">
        <v>25</v>
      </c>
      <c r="M29" s="28" t="s">
        <v>20</v>
      </c>
      <c r="N29" s="28" t="s">
        <v>20</v>
      </c>
      <c r="O29" s="28" t="s">
        <v>25</v>
      </c>
      <c r="P29" s="28" t="s">
        <v>25</v>
      </c>
      <c r="Q29" s="28" t="s">
        <v>26</v>
      </c>
      <c r="R29" s="28" t="s">
        <v>25</v>
      </c>
      <c r="S29" s="28" t="s">
        <v>25</v>
      </c>
      <c r="U29" s="109"/>
      <c r="V29" s="9" t="s">
        <v>25</v>
      </c>
      <c r="W29" s="15">
        <f>+COUNTIF(P5:P41,"No")</f>
        <v>29</v>
      </c>
      <c r="X29" s="126"/>
      <c r="Y29" s="6" t="s">
        <v>115</v>
      </c>
      <c r="Z29" s="51">
        <f>COUNTIFS($C$5:$C$65,"F",$P$5:$P$65,"Si")</f>
        <v>3</v>
      </c>
      <c r="AA29" s="129"/>
      <c r="AB29" s="35" t="s">
        <v>115</v>
      </c>
      <c r="AC29" s="67">
        <f>COUNTIFS($C$5:$C$65,"F",$P$5:$P$65,"NO")</f>
        <v>19</v>
      </c>
      <c r="AD29" s="129"/>
      <c r="AE29" s="35" t="s">
        <v>5</v>
      </c>
      <c r="AF29" s="35">
        <f>COUNTIFS($E$5:$E$65,"1",$P$5:$P$65,"No")</f>
        <v>5</v>
      </c>
      <c r="AG29" s="9" t="s">
        <v>8</v>
      </c>
      <c r="AH29" s="35">
        <f>COUNTIFS($H$5:$H$65,"1",$P$5:$P$65,"No")</f>
        <v>1</v>
      </c>
      <c r="AI29" s="35"/>
      <c r="AJ29" s="68"/>
      <c r="AK29" s="50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5.75" thickBot="1" x14ac:dyDescent="0.3">
      <c r="A30" s="3">
        <v>26</v>
      </c>
      <c r="B30" s="29">
        <v>42927</v>
      </c>
      <c r="C30" s="28" t="s">
        <v>23</v>
      </c>
      <c r="D30" s="28"/>
      <c r="E30" s="28"/>
      <c r="F30" s="28">
        <v>1</v>
      </c>
      <c r="G30" s="28"/>
      <c r="H30" s="28"/>
      <c r="I30" s="28"/>
      <c r="J30" s="33" t="s">
        <v>66</v>
      </c>
      <c r="K30" s="28" t="s">
        <v>68</v>
      </c>
      <c r="L30" s="28" t="s">
        <v>25</v>
      </c>
      <c r="M30" s="28" t="s">
        <v>20</v>
      </c>
      <c r="N30" s="28" t="s">
        <v>20</v>
      </c>
      <c r="O30" s="28" t="s">
        <v>25</v>
      </c>
      <c r="P30" s="28" t="s">
        <v>25</v>
      </c>
      <c r="Q30" s="28" t="s">
        <v>28</v>
      </c>
      <c r="R30" s="28" t="s">
        <v>20</v>
      </c>
      <c r="S30" s="28" t="s">
        <v>20</v>
      </c>
      <c r="U30" s="110"/>
      <c r="V30" s="13" t="s">
        <v>29</v>
      </c>
      <c r="W30" s="16">
        <f>+COUNTIF(P5:P41,"Blanco")</f>
        <v>1</v>
      </c>
      <c r="X30" s="154"/>
      <c r="Y30" s="34" t="s">
        <v>29</v>
      </c>
      <c r="Z30" s="53">
        <f>COUNTIFS($C$5:$C$65,"Blanco",$P$5:$P$65,"Si")</f>
        <v>0</v>
      </c>
      <c r="AA30" s="153"/>
      <c r="AB30" s="71" t="s">
        <v>29</v>
      </c>
      <c r="AC30" s="72">
        <f>COUNTIFS($C$5:$C$65,"Blanco",$P$5:$P$65,"No")</f>
        <v>0</v>
      </c>
      <c r="AD30" s="130"/>
      <c r="AE30" s="27" t="s">
        <v>6</v>
      </c>
      <c r="AF30" s="27">
        <f>COUNTIFS($F$5:$F$65,"1",$P$5:$P$65,"No")</f>
        <v>8</v>
      </c>
      <c r="AG30" s="71" t="s">
        <v>9</v>
      </c>
      <c r="AH30" s="71">
        <f>COUNTIFS($I$5:$I$65,"1",$P$5:$P$65,"No")</f>
        <v>3</v>
      </c>
      <c r="AI30" s="71"/>
      <c r="AJ30" s="73"/>
      <c r="AK30" s="5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</row>
    <row r="31" spans="1:50" x14ac:dyDescent="0.25">
      <c r="A31" s="3">
        <v>27</v>
      </c>
      <c r="B31" s="29">
        <v>42927</v>
      </c>
      <c r="C31" s="28" t="s">
        <v>23</v>
      </c>
      <c r="D31" s="28"/>
      <c r="E31" s="28">
        <v>1</v>
      </c>
      <c r="F31" s="28"/>
      <c r="G31" s="28"/>
      <c r="H31" s="28"/>
      <c r="I31" s="28"/>
      <c r="J31" s="33" t="s">
        <v>66</v>
      </c>
      <c r="K31" s="28" t="s">
        <v>68</v>
      </c>
      <c r="L31" s="28" t="s">
        <v>20</v>
      </c>
      <c r="M31" s="28" t="s">
        <v>20</v>
      </c>
      <c r="N31" s="28" t="s">
        <v>25</v>
      </c>
      <c r="O31" s="28" t="s">
        <v>25</v>
      </c>
      <c r="P31" s="28" t="s">
        <v>25</v>
      </c>
      <c r="Q31" s="28" t="s">
        <v>26</v>
      </c>
      <c r="R31" s="28" t="s">
        <v>25</v>
      </c>
      <c r="S31" s="28" t="s">
        <v>20</v>
      </c>
      <c r="U31" s="137" t="s">
        <v>41</v>
      </c>
      <c r="V31" s="12" t="s">
        <v>27</v>
      </c>
      <c r="W31" s="14">
        <f>+COUNTIF(Q5:Q41,"Elevada")</f>
        <v>11</v>
      </c>
      <c r="X31" s="125" t="s">
        <v>116</v>
      </c>
      <c r="Y31" s="48" t="s">
        <v>114</v>
      </c>
      <c r="Z31" s="49">
        <f>COUNTIFS($C$5:$C$65,"M",$Q$5:$Q$65,"Elevada")</f>
        <v>4</v>
      </c>
      <c r="AA31" s="125" t="s">
        <v>119</v>
      </c>
      <c r="AB31" s="48" t="s">
        <v>114</v>
      </c>
      <c r="AC31" s="49">
        <f>COUNTIFS($C$5:$C$65,"M",$Q$5:$Q$65,"Alguna")</f>
        <v>7</v>
      </c>
      <c r="AD31" s="125" t="s">
        <v>120</v>
      </c>
      <c r="AE31" s="48" t="s">
        <v>114</v>
      </c>
      <c r="AF31" s="49">
        <f>COUNTIFS($C$5:$C$65,"M",$Q$5:$Q$65,"Poca")</f>
        <v>1</v>
      </c>
      <c r="AG31" s="125" t="s">
        <v>121</v>
      </c>
      <c r="AH31" s="48" t="s">
        <v>114</v>
      </c>
      <c r="AI31" s="55">
        <f>COUNTIFS($C$5:$C$65,"M",$Q$5:$Q$65,"Ninguna")</f>
        <v>0</v>
      </c>
      <c r="AJ31" s="55"/>
      <c r="AK31" s="125" t="s">
        <v>122</v>
      </c>
      <c r="AL31" s="56" t="s">
        <v>4</v>
      </c>
      <c r="AM31" s="48">
        <f>COUNTIFS($D$5:$D$65,"1",$Q$5:$Q$65,"Elevada")</f>
        <v>3</v>
      </c>
      <c r="AN31" s="48" t="s">
        <v>7</v>
      </c>
      <c r="AO31" s="48">
        <f>COUNTIFS($G$5:$G$65,"1",$Q$5:$Q$65,"Elevada")</f>
        <v>2</v>
      </c>
      <c r="AP31" s="48" t="s">
        <v>29</v>
      </c>
      <c r="AQ31" s="49">
        <f>COUNTIFS($I$5:$I$65,"Blanco",$Q$5:$Q$65,"Elevada")</f>
        <v>1</v>
      </c>
      <c r="AR31" s="125" t="s">
        <v>119</v>
      </c>
      <c r="AS31" s="48" t="s">
        <v>4</v>
      </c>
      <c r="AT31" s="48">
        <f>COUNTIFS($D$5:$D$65,"1",$Q$5:$Q$65,"Alguna")</f>
        <v>4</v>
      </c>
      <c r="AU31" s="48" t="s">
        <v>7</v>
      </c>
      <c r="AV31" s="48">
        <f>COUNTIFS($G$5:$G$65,"1",$Q$5:$Q$65,"Alguna")</f>
        <v>0</v>
      </c>
      <c r="AW31" s="48" t="s">
        <v>29</v>
      </c>
      <c r="AX31" s="49">
        <f>COUNTIFS($I$5:$I$65,"Blanco",$Q$5:$Q$65,"Alguna")</f>
        <v>0</v>
      </c>
    </row>
    <row r="32" spans="1:50" x14ac:dyDescent="0.25">
      <c r="A32" s="3">
        <v>28</v>
      </c>
      <c r="B32" s="29">
        <v>42927</v>
      </c>
      <c r="C32" s="28" t="s">
        <v>23</v>
      </c>
      <c r="D32" s="28"/>
      <c r="E32" s="28"/>
      <c r="F32" s="28"/>
      <c r="G32" s="28"/>
      <c r="H32" s="28"/>
      <c r="I32" s="28">
        <v>1</v>
      </c>
      <c r="J32" s="33" t="s">
        <v>66</v>
      </c>
      <c r="K32" s="28" t="s">
        <v>68</v>
      </c>
      <c r="L32" s="28" t="s">
        <v>25</v>
      </c>
      <c r="M32" s="28" t="s">
        <v>20</v>
      </c>
      <c r="N32" s="28" t="s">
        <v>25</v>
      </c>
      <c r="O32" s="28" t="s">
        <v>25</v>
      </c>
      <c r="P32" s="28" t="s">
        <v>25</v>
      </c>
      <c r="Q32" s="28" t="s">
        <v>27</v>
      </c>
      <c r="R32" s="28" t="s">
        <v>25</v>
      </c>
      <c r="S32" s="28" t="s">
        <v>25</v>
      </c>
      <c r="U32" s="109"/>
      <c r="V32" s="9" t="s">
        <v>28</v>
      </c>
      <c r="W32" s="15">
        <f>+COUNTIF(Q5:Q41,"Alguna")</f>
        <v>8</v>
      </c>
      <c r="X32" s="126"/>
      <c r="Y32" s="6" t="s">
        <v>115</v>
      </c>
      <c r="Z32" s="51">
        <f>COUNTIFS($C$5:$C$65,"F",$Q$5:$Q$65,"Elevada")</f>
        <v>7</v>
      </c>
      <c r="AA32" s="126"/>
      <c r="AB32" s="6" t="s">
        <v>115</v>
      </c>
      <c r="AC32" s="51">
        <f>COUNTIFS($C$5:$C$65,"F",$Q$5:$Q$65,"Alguna")</f>
        <v>1</v>
      </c>
      <c r="AD32" s="126"/>
      <c r="AE32" s="6" t="s">
        <v>115</v>
      </c>
      <c r="AF32" s="51">
        <f>COUNTIFS($C$5:$C$65,"F",$Q$5:$Q$65,"Poca")</f>
        <v>10</v>
      </c>
      <c r="AG32" s="126"/>
      <c r="AH32" s="6" t="s">
        <v>115</v>
      </c>
      <c r="AI32" s="57">
        <f>COUNTIFS($C$5:$C$65,"F",$Q$5:$Q$65,"Ninguna")</f>
        <v>5</v>
      </c>
      <c r="AJ32" s="57"/>
      <c r="AK32" s="126"/>
      <c r="AL32" s="50" t="s">
        <v>5</v>
      </c>
      <c r="AM32" s="6">
        <f>COUNTIFS($E$5:$E$65,"1",$Q$5:$Q$65,"Elevada")</f>
        <v>2</v>
      </c>
      <c r="AN32" s="39" t="s">
        <v>8</v>
      </c>
      <c r="AO32" s="6">
        <f>COUNTIFS($H$5:$H$65,"1",$Q$5:$Q$65,"Elevada")</f>
        <v>1</v>
      </c>
      <c r="AP32" s="6"/>
      <c r="AQ32" s="51"/>
      <c r="AR32" s="126"/>
      <c r="AS32" s="6" t="s">
        <v>5</v>
      </c>
      <c r="AT32" s="6">
        <f>COUNTIFS($E$5:$E$65,"1",$Q$5:$Q$65,"Alguna")</f>
        <v>1</v>
      </c>
      <c r="AU32" s="39" t="s">
        <v>8</v>
      </c>
      <c r="AV32" s="6">
        <f>COUNTIFS($H$5:$H$65,"1",$Q$5:$Q$65,"Alguna")</f>
        <v>0</v>
      </c>
      <c r="AW32" s="6"/>
      <c r="AX32" s="51"/>
    </row>
    <row r="33" spans="1:50" ht="15.75" thickBot="1" x14ac:dyDescent="0.3">
      <c r="A33" s="3">
        <v>29</v>
      </c>
      <c r="B33" s="29">
        <v>42927</v>
      </c>
      <c r="C33" s="28" t="s">
        <v>23</v>
      </c>
      <c r="D33" s="28"/>
      <c r="E33" s="28"/>
      <c r="F33" s="28">
        <v>1</v>
      </c>
      <c r="G33" s="28"/>
      <c r="H33" s="28"/>
      <c r="I33" s="28"/>
      <c r="J33" s="33" t="s">
        <v>66</v>
      </c>
      <c r="K33" s="28" t="s">
        <v>68</v>
      </c>
      <c r="L33" s="28" t="s">
        <v>25</v>
      </c>
      <c r="M33" s="28" t="s">
        <v>25</v>
      </c>
      <c r="N33" s="28" t="s">
        <v>25</v>
      </c>
      <c r="O33" s="28" t="s">
        <v>25</v>
      </c>
      <c r="P33" s="28" t="s">
        <v>25</v>
      </c>
      <c r="Q33" s="28" t="s">
        <v>26</v>
      </c>
      <c r="R33" s="28" t="s">
        <v>20</v>
      </c>
      <c r="S33" s="28" t="s">
        <v>25</v>
      </c>
      <c r="U33" s="109"/>
      <c r="V33" s="9" t="s">
        <v>26</v>
      </c>
      <c r="W33" s="15">
        <f>+COUNTIF(Q5:Q41,"Poca")</f>
        <v>11</v>
      </c>
      <c r="X33" s="127"/>
      <c r="Y33" s="26" t="s">
        <v>29</v>
      </c>
      <c r="Z33" s="52">
        <f>COUNTIFS($C$5:$C$65,"Blanco",Q5:Q65,"Elevada")</f>
        <v>0</v>
      </c>
      <c r="AA33" s="127"/>
      <c r="AB33" s="26" t="s">
        <v>29</v>
      </c>
      <c r="AC33" s="52">
        <f>COUNTIFS($C$5:$C$65,"Blanco",$Q$5:$Q$65,"Alguna")</f>
        <v>0</v>
      </c>
      <c r="AD33" s="127"/>
      <c r="AE33" s="26" t="s">
        <v>29</v>
      </c>
      <c r="AF33" s="52">
        <f>COUNTIFS($C$5:$C$65,"Blanco",$Q$5:$Q$65,"Poca")</f>
        <v>0</v>
      </c>
      <c r="AG33" s="127"/>
      <c r="AH33" s="26" t="s">
        <v>29</v>
      </c>
      <c r="AI33" s="58">
        <f>COUNTIFS($C$5:$C$65,"Blanco",$Q$5:$Q$65,"Ninguna")</f>
        <v>0</v>
      </c>
      <c r="AJ33" s="58"/>
      <c r="AK33" s="127"/>
      <c r="AL33" s="59" t="s">
        <v>6</v>
      </c>
      <c r="AM33" s="26">
        <f>COUNTIFS($F$5:$F$65,"1",$Q$5:$Q$65,"Elevada")</f>
        <v>1</v>
      </c>
      <c r="AN33" s="26" t="s">
        <v>9</v>
      </c>
      <c r="AO33" s="26">
        <f>COUNTIFS($I$5:$I$65,"1",$Q$5:$Q$65,"Elevada")</f>
        <v>1</v>
      </c>
      <c r="AP33" s="26"/>
      <c r="AQ33" s="52"/>
      <c r="AR33" s="127"/>
      <c r="AS33" s="26" t="s">
        <v>6</v>
      </c>
      <c r="AT33" s="26">
        <f>COUNTIFS($F$5:$F$65,"1",$Q$5:$Q$65,"Alguna")</f>
        <v>2</v>
      </c>
      <c r="AU33" s="26" t="s">
        <v>9</v>
      </c>
      <c r="AV33" s="26">
        <f>COUNTIFS($I$5:$I$65,"1",$Q$5:$Q$65,"Alguna")</f>
        <v>1</v>
      </c>
      <c r="AW33" s="26"/>
      <c r="AX33" s="52"/>
    </row>
    <row r="34" spans="1:50" ht="15.75" thickBot="1" x14ac:dyDescent="0.3">
      <c r="A34" s="3">
        <v>30</v>
      </c>
      <c r="B34" s="29">
        <v>42927</v>
      </c>
      <c r="C34" s="28" t="s">
        <v>30</v>
      </c>
      <c r="D34" s="28">
        <v>1</v>
      </c>
      <c r="E34" s="28"/>
      <c r="F34" s="28"/>
      <c r="G34" s="28"/>
      <c r="H34" s="28"/>
      <c r="I34" s="28"/>
      <c r="J34" s="33" t="s">
        <v>66</v>
      </c>
      <c r="K34" s="28" t="s">
        <v>68</v>
      </c>
      <c r="L34" s="28" t="s">
        <v>20</v>
      </c>
      <c r="M34" s="28" t="s">
        <v>20</v>
      </c>
      <c r="N34" s="28" t="s">
        <v>25</v>
      </c>
      <c r="O34" s="28" t="s">
        <v>20</v>
      </c>
      <c r="P34" s="28" t="s">
        <v>25</v>
      </c>
      <c r="Q34" s="28" t="s">
        <v>27</v>
      </c>
      <c r="R34" s="28" t="s">
        <v>25</v>
      </c>
      <c r="S34" s="28" t="s">
        <v>20</v>
      </c>
      <c r="U34" s="110"/>
      <c r="V34" s="13" t="s">
        <v>34</v>
      </c>
      <c r="W34" s="16">
        <f>+COUNTIF(Q5:Q41,"Ninguna")</f>
        <v>5</v>
      </c>
      <c r="X34" s="47"/>
      <c r="Y34" s="60"/>
      <c r="Z34" s="62"/>
      <c r="AA34" s="63"/>
      <c r="AB34" s="60"/>
      <c r="AC34" s="64"/>
      <c r="AD34" s="60"/>
      <c r="AE34" s="60"/>
      <c r="AG34" s="60"/>
      <c r="AH34" s="60"/>
      <c r="AI34" s="60"/>
      <c r="AJ34" s="60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</row>
    <row r="35" spans="1:50" x14ac:dyDescent="0.25">
      <c r="A35" s="3">
        <v>31</v>
      </c>
      <c r="B35" s="29">
        <v>42927</v>
      </c>
      <c r="C35" s="28" t="s">
        <v>30</v>
      </c>
      <c r="D35" s="28"/>
      <c r="E35" s="28"/>
      <c r="F35" s="28"/>
      <c r="G35" s="28"/>
      <c r="H35" s="28"/>
      <c r="I35" s="28">
        <v>1</v>
      </c>
      <c r="J35" s="33" t="s">
        <v>66</v>
      </c>
      <c r="K35" s="28" t="s">
        <v>68</v>
      </c>
      <c r="L35" s="28" t="s">
        <v>25</v>
      </c>
      <c r="M35" s="28" t="s">
        <v>25</v>
      </c>
      <c r="N35" s="28" t="s">
        <v>25</v>
      </c>
      <c r="O35" s="28" t="s">
        <v>25</v>
      </c>
      <c r="P35" s="28" t="s">
        <v>25</v>
      </c>
      <c r="Q35" s="28" t="s">
        <v>28</v>
      </c>
      <c r="R35" s="28" t="s">
        <v>25</v>
      </c>
      <c r="S35" s="28" t="s">
        <v>20</v>
      </c>
      <c r="U35" s="137" t="s">
        <v>42</v>
      </c>
      <c r="V35" s="12" t="s">
        <v>20</v>
      </c>
      <c r="W35" s="14">
        <f>+COUNTIF(R5:R41,"Si")</f>
        <v>15</v>
      </c>
      <c r="X35" s="125" t="s">
        <v>118</v>
      </c>
      <c r="Y35" s="48" t="s">
        <v>114</v>
      </c>
      <c r="Z35" s="49">
        <f>COUNTIFS($C$5:$C$65,"M",$R$5:$R$65,"Si")</f>
        <v>6</v>
      </c>
      <c r="AA35" s="125" t="s">
        <v>117</v>
      </c>
      <c r="AB35" s="48" t="s">
        <v>114</v>
      </c>
      <c r="AC35" s="55">
        <f>COUNTIFS($C$5:$C$65,"M",$R$5:$R$65,"No")</f>
        <v>6</v>
      </c>
      <c r="AD35" s="125" t="s">
        <v>118</v>
      </c>
      <c r="AE35" s="48" t="s">
        <v>4</v>
      </c>
      <c r="AF35" s="48">
        <f>COUNTIFS($D$5:$D$65,"1",$R$5:$R$65,"Si")</f>
        <v>5</v>
      </c>
      <c r="AG35" s="48" t="s">
        <v>7</v>
      </c>
      <c r="AH35" s="48">
        <f>COUNTIFS($G$5:$G$65,"1",$R$5:$R$65,"Si")</f>
        <v>2</v>
      </c>
      <c r="AI35" s="48" t="s">
        <v>29</v>
      </c>
      <c r="AJ35" s="49">
        <f>COUNTIFS($I$5:$I$65,"Blanco",$R$5:$R$65,"Si")</f>
        <v>0</v>
      </c>
      <c r="AK35" s="50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x14ac:dyDescent="0.25">
      <c r="A36" s="3">
        <v>32</v>
      </c>
      <c r="B36" s="29">
        <v>42927</v>
      </c>
      <c r="C36" s="28" t="s">
        <v>23</v>
      </c>
      <c r="D36" s="28"/>
      <c r="E36" s="28"/>
      <c r="F36" s="28"/>
      <c r="G36" s="28">
        <v>1</v>
      </c>
      <c r="H36" s="28"/>
      <c r="I36" s="28"/>
      <c r="J36" s="33" t="s">
        <v>66</v>
      </c>
      <c r="K36" s="28" t="s">
        <v>68</v>
      </c>
      <c r="L36" s="28" t="s">
        <v>25</v>
      </c>
      <c r="M36" s="28" t="s">
        <v>25</v>
      </c>
      <c r="N36" s="28" t="s">
        <v>20</v>
      </c>
      <c r="O36" s="28" t="s">
        <v>25</v>
      </c>
      <c r="P36" s="28" t="s">
        <v>25</v>
      </c>
      <c r="Q36" s="28" t="s">
        <v>27</v>
      </c>
      <c r="R36" s="28" t="s">
        <v>25</v>
      </c>
      <c r="S36" s="28" t="s">
        <v>20</v>
      </c>
      <c r="U36" s="109"/>
      <c r="V36" s="9" t="s">
        <v>25</v>
      </c>
      <c r="W36" s="15">
        <f>+COUNTIF(R5:R41,"No")</f>
        <v>20</v>
      </c>
      <c r="X36" s="126"/>
      <c r="Y36" s="6" t="s">
        <v>115</v>
      </c>
      <c r="Z36" s="51">
        <f>COUNTIFS($C$5:$C$65,"F",$R$5:$R$65,"Si")</f>
        <v>9</v>
      </c>
      <c r="AA36" s="126"/>
      <c r="AB36" s="6" t="s">
        <v>115</v>
      </c>
      <c r="AC36" s="57">
        <f>COUNTIFS($C$5:$C$65,"F",$R$5:$R$65,"No")</f>
        <v>14</v>
      </c>
      <c r="AD36" s="126"/>
      <c r="AE36" s="6" t="s">
        <v>5</v>
      </c>
      <c r="AF36" s="6">
        <f>COUNTIFS($E$5:$E$65,"1",$R$5:$R$65,"Si")</f>
        <v>3</v>
      </c>
      <c r="AG36" s="39" t="s">
        <v>8</v>
      </c>
      <c r="AH36" s="6">
        <f>COUNTIFS($H$5:$H$65,"1",$R$5:$R$65,"Si")</f>
        <v>1</v>
      </c>
      <c r="AI36" s="6"/>
      <c r="AJ36" s="51"/>
      <c r="AK36" s="50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15.75" thickBot="1" x14ac:dyDescent="0.3">
      <c r="A37" s="3">
        <v>33</v>
      </c>
      <c r="B37" s="29">
        <v>42927</v>
      </c>
      <c r="C37" s="28" t="s">
        <v>23</v>
      </c>
      <c r="D37" s="28"/>
      <c r="E37" s="28"/>
      <c r="F37" s="28"/>
      <c r="G37" s="28"/>
      <c r="H37" s="28"/>
      <c r="I37" s="28">
        <v>1</v>
      </c>
      <c r="J37" s="33" t="s">
        <v>66</v>
      </c>
      <c r="K37" s="28" t="s">
        <v>68</v>
      </c>
      <c r="L37" s="28" t="s">
        <v>25</v>
      </c>
      <c r="M37" s="28" t="s">
        <v>25</v>
      </c>
      <c r="N37" s="28" t="s">
        <v>25</v>
      </c>
      <c r="O37" s="28" t="s">
        <v>25</v>
      </c>
      <c r="P37" s="28" t="s">
        <v>25</v>
      </c>
      <c r="Q37" s="28" t="s">
        <v>34</v>
      </c>
      <c r="R37" s="28" t="s">
        <v>25</v>
      </c>
      <c r="S37" s="28" t="s">
        <v>25</v>
      </c>
      <c r="U37" s="110"/>
      <c r="V37" s="13" t="s">
        <v>29</v>
      </c>
      <c r="W37" s="16">
        <f>+COUNTIF(R5:R41,"Blanco")</f>
        <v>0</v>
      </c>
      <c r="X37" s="127"/>
      <c r="Y37" s="26" t="s">
        <v>29</v>
      </c>
      <c r="Z37" s="52">
        <f>COUNTIFS($C$5:$C$65,"Blanco",$R$5:$R$65,"Si")</f>
        <v>0</v>
      </c>
      <c r="AA37" s="127"/>
      <c r="AB37" s="26" t="s">
        <v>29</v>
      </c>
      <c r="AC37" s="58">
        <f>COUNTIFS($C$5:$C$65,"Blanco",$R$5:$R$65,"No")</f>
        <v>0</v>
      </c>
      <c r="AD37" s="127"/>
      <c r="AE37" s="26" t="s">
        <v>6</v>
      </c>
      <c r="AF37" s="26">
        <f>COUNTIFS($F$5:$F$65,"1",$R$5:$R$65,"Si")</f>
        <v>4</v>
      </c>
      <c r="AG37" s="26" t="s">
        <v>9</v>
      </c>
      <c r="AH37" s="26">
        <f>COUNTIFS($I$5:$I$65,"1",$R$5:$R$65,"Si")</f>
        <v>0</v>
      </c>
      <c r="AI37" s="26"/>
      <c r="AJ37" s="52"/>
      <c r="AK37" s="50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x14ac:dyDescent="0.25">
      <c r="A38" s="3">
        <v>34</v>
      </c>
      <c r="B38" s="29">
        <v>42927</v>
      </c>
      <c r="C38" s="28" t="s">
        <v>30</v>
      </c>
      <c r="D38" s="28">
        <v>1</v>
      </c>
      <c r="E38" s="28"/>
      <c r="F38" s="28"/>
      <c r="G38" s="28"/>
      <c r="H38" s="28"/>
      <c r="I38" s="28"/>
      <c r="J38" s="33" t="s">
        <v>66</v>
      </c>
      <c r="K38" s="28" t="s">
        <v>68</v>
      </c>
      <c r="L38" s="28" t="s">
        <v>25</v>
      </c>
      <c r="M38" s="28" t="s">
        <v>25</v>
      </c>
      <c r="N38" s="28" t="s">
        <v>25</v>
      </c>
      <c r="O38" s="28" t="s">
        <v>25</v>
      </c>
      <c r="P38" s="28" t="s">
        <v>25</v>
      </c>
      <c r="Q38" s="28" t="s">
        <v>28</v>
      </c>
      <c r="R38" s="28" t="s">
        <v>25</v>
      </c>
      <c r="S38" s="28" t="s">
        <v>25</v>
      </c>
      <c r="U38" s="137" t="s">
        <v>43</v>
      </c>
      <c r="V38" s="12" t="s">
        <v>20</v>
      </c>
      <c r="W38" s="14">
        <f>+COUNTIF(S5:S41,"Si")</f>
        <v>9</v>
      </c>
      <c r="X38" s="125" t="s">
        <v>118</v>
      </c>
      <c r="Y38" s="48" t="s">
        <v>114</v>
      </c>
      <c r="Z38" s="49">
        <f>COUNTIFS($C$5:$C$65,"M",$S$5:$S$65,"Si")</f>
        <v>3</v>
      </c>
      <c r="AA38" s="125" t="s">
        <v>117</v>
      </c>
      <c r="AB38" s="48" t="s">
        <v>114</v>
      </c>
      <c r="AC38" s="55">
        <f>COUNTIFS($C$5:$C$65,"M",$S$5:$S$65,"No")</f>
        <v>9</v>
      </c>
      <c r="AD38" s="125" t="s">
        <v>118</v>
      </c>
      <c r="AE38" s="48" t="s">
        <v>4</v>
      </c>
      <c r="AF38" s="48">
        <f>COUNTIFS($D$5:$D$65,"1",$S$5:$S$65,"Si")</f>
        <v>2</v>
      </c>
      <c r="AG38" s="48" t="s">
        <v>7</v>
      </c>
      <c r="AH38" s="48">
        <f>COUNTIFS($G$5:$G$65,"1",$S$5:$S$65,"Si")</f>
        <v>1</v>
      </c>
      <c r="AI38" s="48" t="s">
        <v>29</v>
      </c>
      <c r="AJ38" s="49">
        <f>COUNTIFS($I$5:$I$65,"Blanco",$S$5:$S$65,"Si")</f>
        <v>0</v>
      </c>
      <c r="AK38" s="50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x14ac:dyDescent="0.25">
      <c r="A39" s="3">
        <v>35</v>
      </c>
      <c r="B39" s="29">
        <v>42927</v>
      </c>
      <c r="C39" s="28" t="s">
        <v>23</v>
      </c>
      <c r="D39" s="28"/>
      <c r="E39" s="28"/>
      <c r="F39" s="28">
        <v>1</v>
      </c>
      <c r="G39" s="28"/>
      <c r="H39" s="28"/>
      <c r="I39" s="28"/>
      <c r="J39" s="33" t="s">
        <v>66</v>
      </c>
      <c r="K39" s="28" t="s">
        <v>68</v>
      </c>
      <c r="L39" s="28" t="s">
        <v>20</v>
      </c>
      <c r="M39" s="28" t="s">
        <v>20</v>
      </c>
      <c r="N39" s="28" t="s">
        <v>25</v>
      </c>
      <c r="O39" s="28" t="s">
        <v>20</v>
      </c>
      <c r="P39" s="28" t="s">
        <v>25</v>
      </c>
      <c r="Q39" s="28" t="s">
        <v>34</v>
      </c>
      <c r="R39" s="28" t="s">
        <v>25</v>
      </c>
      <c r="S39" s="28" t="s">
        <v>20</v>
      </c>
      <c r="U39" s="109"/>
      <c r="V39" s="9" t="s">
        <v>25</v>
      </c>
      <c r="W39" s="15">
        <f>+COUNTIF(S5:S41,"No")</f>
        <v>26</v>
      </c>
      <c r="X39" s="126"/>
      <c r="Y39" s="6" t="s">
        <v>115</v>
      </c>
      <c r="Z39" s="51">
        <f>COUNTIFS($C$5:$C$65,"F",$S$5:$S$65,"Si")</f>
        <v>6</v>
      </c>
      <c r="AA39" s="126"/>
      <c r="AB39" s="6" t="s">
        <v>115</v>
      </c>
      <c r="AC39" s="57">
        <f>COUNTIFS($C$5:$C$65,"F",$S$5:$S$65,"No")</f>
        <v>17</v>
      </c>
      <c r="AD39" s="126"/>
      <c r="AE39" s="6" t="s">
        <v>5</v>
      </c>
      <c r="AF39" s="6">
        <f>COUNTIFS($E$5:$E$65,"1",$S$6:$S$66,"Si")</f>
        <v>0</v>
      </c>
      <c r="AG39" s="39" t="s">
        <v>8</v>
      </c>
      <c r="AH39" s="6">
        <f>COUNTIFS($H$5:$H$65,"1",$S$5:$S$65,"Si")</f>
        <v>0</v>
      </c>
      <c r="AI39" s="6"/>
      <c r="AJ39" s="51"/>
      <c r="AK39" s="50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5.75" thickBot="1" x14ac:dyDescent="0.3">
      <c r="A40" s="3">
        <v>36</v>
      </c>
      <c r="B40" s="29"/>
      <c r="C40" s="31"/>
      <c r="D40" s="32"/>
      <c r="E40" s="32"/>
      <c r="F40" s="32"/>
      <c r="G40" s="32"/>
      <c r="H40" s="28"/>
      <c r="I40" s="28"/>
      <c r="J40" s="33"/>
      <c r="K40" s="28"/>
      <c r="L40" s="31"/>
      <c r="M40" s="31"/>
      <c r="N40" s="31"/>
      <c r="O40" s="31"/>
      <c r="P40" s="31"/>
      <c r="Q40" s="31"/>
      <c r="R40" s="31"/>
      <c r="S40" s="31"/>
      <c r="U40" s="110"/>
      <c r="V40" s="13" t="s">
        <v>29</v>
      </c>
      <c r="W40" s="16">
        <f>+COUNTIF(S5:S41,"Blanco")</f>
        <v>0</v>
      </c>
      <c r="X40" s="127"/>
      <c r="Y40" s="26" t="s">
        <v>29</v>
      </c>
      <c r="Z40" s="52">
        <f>COUNTIFS($C$5:$C$65,"Blanco",$S$5:$S$65,"Si")</f>
        <v>0</v>
      </c>
      <c r="AA40" s="127"/>
      <c r="AB40" s="26" t="s">
        <v>29</v>
      </c>
      <c r="AC40" s="58">
        <f>COUNTIFS($C$5:$C$65,"Blanco",$S$5:$S$65,"No")</f>
        <v>0</v>
      </c>
      <c r="AD40" s="127"/>
      <c r="AE40" s="26" t="s">
        <v>6</v>
      </c>
      <c r="AF40" s="26">
        <f>COUNTIFS($F$5:$F$65,"1",$S$5:$S$65,"Si")</f>
        <v>3</v>
      </c>
      <c r="AG40" s="26" t="s">
        <v>9</v>
      </c>
      <c r="AH40" s="26">
        <f>COUNTIFS($I$5:$I$65,"1",$S$5:$S$65,"Si")</f>
        <v>1</v>
      </c>
      <c r="AI40" s="26"/>
      <c r="AJ40" s="52"/>
      <c r="AK40" s="50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x14ac:dyDescent="0.25">
      <c r="A41" s="3">
        <v>37</v>
      </c>
      <c r="B41" s="29"/>
      <c r="C41" s="31"/>
      <c r="D41" s="32"/>
      <c r="E41" s="32"/>
      <c r="F41" s="32"/>
      <c r="G41" s="32"/>
      <c r="H41" s="28"/>
      <c r="I41" s="28"/>
      <c r="J41" s="33"/>
      <c r="K41" s="28"/>
      <c r="L41" s="31"/>
      <c r="M41" s="31"/>
      <c r="N41" s="31"/>
      <c r="O41" s="31"/>
      <c r="P41" s="31"/>
      <c r="Q41" s="31"/>
      <c r="R41" s="31"/>
      <c r="S41" s="31"/>
    </row>
  </sheetData>
  <mergeCells count="58">
    <mergeCell ref="X38:X40"/>
    <mergeCell ref="AA38:AA40"/>
    <mergeCell ref="AD38:AD40"/>
    <mergeCell ref="AG31:AG33"/>
    <mergeCell ref="AK31:AK33"/>
    <mergeCell ref="AR31:AR33"/>
    <mergeCell ref="X35:X37"/>
    <mergeCell ref="AA35:AA37"/>
    <mergeCell ref="AD35:AD37"/>
    <mergeCell ref="X28:X30"/>
    <mergeCell ref="AA28:AA30"/>
    <mergeCell ref="AD28:AD30"/>
    <mergeCell ref="X31:X33"/>
    <mergeCell ref="AA31:AA33"/>
    <mergeCell ref="AD31:AD33"/>
    <mergeCell ref="X22:X24"/>
    <mergeCell ref="AA22:AA24"/>
    <mergeCell ref="AD22:AD24"/>
    <mergeCell ref="X25:X27"/>
    <mergeCell ref="AA25:AA27"/>
    <mergeCell ref="AD25:AD27"/>
    <mergeCell ref="X16:X18"/>
    <mergeCell ref="AA16:AA18"/>
    <mergeCell ref="AD16:AD18"/>
    <mergeCell ref="X19:X21"/>
    <mergeCell ref="AA19:AA21"/>
    <mergeCell ref="AD19:AD21"/>
    <mergeCell ref="U31:U34"/>
    <mergeCell ref="U35:U37"/>
    <mergeCell ref="U38:U40"/>
    <mergeCell ref="U13:U15"/>
    <mergeCell ref="U16:U18"/>
    <mergeCell ref="U19:U21"/>
    <mergeCell ref="U22:U24"/>
    <mergeCell ref="U25:U27"/>
    <mergeCell ref="U28:U30"/>
    <mergeCell ref="U6:U12"/>
    <mergeCell ref="L3:L4"/>
    <mergeCell ref="M3:M4"/>
    <mergeCell ref="N3:N4"/>
    <mergeCell ref="O3:O4"/>
    <mergeCell ref="P3:P4"/>
    <mergeCell ref="Q3:Q4"/>
    <mergeCell ref="R3:R4"/>
    <mergeCell ref="S3:S4"/>
    <mergeCell ref="U3:V3"/>
    <mergeCell ref="U4:V4"/>
    <mergeCell ref="U5:V5"/>
    <mergeCell ref="A1:S1"/>
    <mergeCell ref="U1:W1"/>
    <mergeCell ref="A2:S2"/>
    <mergeCell ref="U2:V2"/>
    <mergeCell ref="A3:A4"/>
    <mergeCell ref="B3:B4"/>
    <mergeCell ref="C3:C4"/>
    <mergeCell ref="D3:I3"/>
    <mergeCell ref="J3:J4"/>
    <mergeCell ref="K3:K4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41"/>
  <sheetViews>
    <sheetView topLeftCell="V1" zoomScale="50" zoomScaleNormal="50" workbookViewId="0">
      <selection activeCell="AU31" sqref="AU31"/>
    </sheetView>
  </sheetViews>
  <sheetFormatPr baseColWidth="10" defaultRowHeight="15" x14ac:dyDescent="0.25"/>
  <cols>
    <col min="1" max="1" width="4.140625" style="1" bestFit="1" customWidth="1"/>
    <col min="2" max="2" width="17.42578125" customWidth="1"/>
    <col min="4" max="4" width="9.7109375" bestFit="1" customWidth="1"/>
    <col min="5" max="5" width="10.140625" bestFit="1" customWidth="1"/>
    <col min="6" max="6" width="9.7109375" bestFit="1" customWidth="1"/>
    <col min="7" max="7" width="10.140625" bestFit="1" customWidth="1"/>
    <col min="8" max="8" width="9.7109375" bestFit="1" customWidth="1"/>
    <col min="9" max="9" width="14.140625" customWidth="1"/>
    <col min="10" max="10" width="20.140625" bestFit="1" customWidth="1"/>
    <col min="11" max="11" width="16.85546875" customWidth="1"/>
    <col min="12" max="19" width="14.28515625" customWidth="1"/>
    <col min="21" max="21" width="48.42578125" style="7" customWidth="1"/>
    <col min="22" max="22" width="20.85546875" bestFit="1" customWidth="1"/>
    <col min="23" max="23" width="11.42578125" style="1"/>
  </cols>
  <sheetData>
    <row r="1" spans="1:50" ht="15.75" thickBot="1" x14ac:dyDescent="0.3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U1" s="144" t="s">
        <v>46</v>
      </c>
      <c r="V1" s="145"/>
      <c r="W1" s="148"/>
    </row>
    <row r="2" spans="1:50" ht="15.75" thickBot="1" x14ac:dyDescent="0.3">
      <c r="A2" s="123" t="s">
        <v>21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U2" s="144" t="s">
        <v>44</v>
      </c>
      <c r="V2" s="145"/>
      <c r="W2" s="17">
        <f>+COUNTIF(C5:C39,"M")</f>
        <v>13</v>
      </c>
    </row>
    <row r="3" spans="1:50" ht="15.75" customHeight="1" thickBot="1" x14ac:dyDescent="0.3">
      <c r="A3" s="149" t="s">
        <v>22</v>
      </c>
      <c r="B3" s="151" t="s">
        <v>2</v>
      </c>
      <c r="C3" s="149" t="s">
        <v>1</v>
      </c>
      <c r="D3" s="123" t="s">
        <v>3</v>
      </c>
      <c r="E3" s="123"/>
      <c r="F3" s="123"/>
      <c r="G3" s="123"/>
      <c r="H3" s="123"/>
      <c r="I3" s="123"/>
      <c r="J3" s="149" t="s">
        <v>11</v>
      </c>
      <c r="K3" s="149" t="s">
        <v>10</v>
      </c>
      <c r="L3" s="142" t="s">
        <v>12</v>
      </c>
      <c r="M3" s="142" t="s">
        <v>13</v>
      </c>
      <c r="N3" s="142" t="s">
        <v>14</v>
      </c>
      <c r="O3" s="142" t="s">
        <v>15</v>
      </c>
      <c r="P3" s="142" t="s">
        <v>16</v>
      </c>
      <c r="Q3" s="142" t="s">
        <v>17</v>
      </c>
      <c r="R3" s="142" t="s">
        <v>18</v>
      </c>
      <c r="S3" s="142" t="s">
        <v>19</v>
      </c>
      <c r="U3" s="144" t="s">
        <v>45</v>
      </c>
      <c r="V3" s="145"/>
      <c r="W3" s="17">
        <f>+COUNTIF(C5:C39,"F")</f>
        <v>19</v>
      </c>
    </row>
    <row r="4" spans="1:50" ht="15.75" customHeight="1" thickBot="1" x14ac:dyDescent="0.3">
      <c r="A4" s="150"/>
      <c r="B4" s="152"/>
      <c r="C4" s="150"/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150"/>
      <c r="K4" s="150"/>
      <c r="L4" s="143"/>
      <c r="M4" s="143"/>
      <c r="N4" s="143"/>
      <c r="O4" s="143"/>
      <c r="P4" s="143"/>
      <c r="Q4" s="143"/>
      <c r="R4" s="143"/>
      <c r="S4" s="143"/>
      <c r="U4" s="146" t="s">
        <v>29</v>
      </c>
      <c r="V4" s="147"/>
      <c r="W4" s="17">
        <f>+COUNTIF(C5:C39,"Blanco")</f>
        <v>3</v>
      </c>
    </row>
    <row r="5" spans="1:50" ht="15.75" thickBot="1" x14ac:dyDescent="0.3">
      <c r="A5" s="3">
        <v>1</v>
      </c>
      <c r="B5" s="5">
        <v>42929</v>
      </c>
      <c r="C5" s="6" t="s">
        <v>30</v>
      </c>
      <c r="D5" s="6"/>
      <c r="E5" s="6"/>
      <c r="F5" s="6"/>
      <c r="G5" s="6"/>
      <c r="H5" s="6"/>
      <c r="I5" s="6">
        <v>1</v>
      </c>
      <c r="J5" s="6" t="s">
        <v>54</v>
      </c>
      <c r="K5" s="6" t="s">
        <v>51</v>
      </c>
      <c r="L5" s="6" t="s">
        <v>25</v>
      </c>
      <c r="M5" s="6" t="s">
        <v>25</v>
      </c>
      <c r="N5" s="6" t="s">
        <v>25</v>
      </c>
      <c r="O5" s="6" t="s">
        <v>25</v>
      </c>
      <c r="P5" s="6" t="s">
        <v>25</v>
      </c>
      <c r="Q5" s="6" t="s">
        <v>34</v>
      </c>
      <c r="R5" s="6" t="s">
        <v>20</v>
      </c>
      <c r="S5" s="6" t="s">
        <v>25</v>
      </c>
      <c r="U5" s="146" t="s">
        <v>47</v>
      </c>
      <c r="V5" s="147"/>
      <c r="W5" s="18">
        <f>SUM(W2:W4)</f>
        <v>35</v>
      </c>
    </row>
    <row r="6" spans="1:50" x14ac:dyDescent="0.25">
      <c r="A6" s="3">
        <v>2</v>
      </c>
      <c r="B6" s="5">
        <v>42929</v>
      </c>
      <c r="C6" s="20" t="s">
        <v>29</v>
      </c>
      <c r="D6" s="6"/>
      <c r="E6" s="6"/>
      <c r="F6" s="6"/>
      <c r="G6" s="6">
        <v>1</v>
      </c>
      <c r="H6" s="6"/>
      <c r="I6" s="6"/>
      <c r="J6" s="6" t="s">
        <v>54</v>
      </c>
      <c r="K6" s="6" t="s">
        <v>51</v>
      </c>
      <c r="L6" s="6" t="s">
        <v>20</v>
      </c>
      <c r="M6" s="6" t="s">
        <v>20</v>
      </c>
      <c r="N6" s="6" t="s">
        <v>25</v>
      </c>
      <c r="O6" s="6" t="s">
        <v>25</v>
      </c>
      <c r="P6" s="6" t="s">
        <v>25</v>
      </c>
      <c r="Q6" s="6" t="s">
        <v>27</v>
      </c>
      <c r="R6" s="6" t="s">
        <v>20</v>
      </c>
      <c r="S6" s="6" t="s">
        <v>25</v>
      </c>
      <c r="U6" s="140" t="s">
        <v>3</v>
      </c>
      <c r="V6" s="11" t="s">
        <v>4</v>
      </c>
      <c r="W6" s="14">
        <f>+COUNTIF(D4:D39,"1")</f>
        <v>8</v>
      </c>
    </row>
    <row r="7" spans="1:50" x14ac:dyDescent="0.25">
      <c r="A7" s="3">
        <v>3</v>
      </c>
      <c r="B7" s="5">
        <v>42929</v>
      </c>
      <c r="C7" s="6" t="s">
        <v>23</v>
      </c>
      <c r="D7" s="6">
        <v>1</v>
      </c>
      <c r="E7" s="6"/>
      <c r="F7" s="6"/>
      <c r="G7" s="6"/>
      <c r="H7" s="6"/>
      <c r="I7" s="6"/>
      <c r="J7" s="6" t="s">
        <v>54</v>
      </c>
      <c r="K7" s="6" t="s">
        <v>51</v>
      </c>
      <c r="L7" s="6" t="s">
        <v>25</v>
      </c>
      <c r="M7" s="6" t="s">
        <v>25</v>
      </c>
      <c r="N7" s="6" t="s">
        <v>25</v>
      </c>
      <c r="O7" s="6" t="s">
        <v>25</v>
      </c>
      <c r="P7" s="6" t="s">
        <v>20</v>
      </c>
      <c r="Q7" s="6" t="s">
        <v>27</v>
      </c>
      <c r="R7" s="6" t="s">
        <v>25</v>
      </c>
      <c r="S7" s="6" t="s">
        <v>25</v>
      </c>
      <c r="U7" s="141"/>
      <c r="V7" s="8" t="s">
        <v>5</v>
      </c>
      <c r="W7" s="15">
        <f>+COUNTIF(E5:E39,"1")</f>
        <v>7</v>
      </c>
    </row>
    <row r="8" spans="1:50" x14ac:dyDescent="0.25">
      <c r="A8" s="3">
        <v>4</v>
      </c>
      <c r="B8" s="5">
        <v>42929</v>
      </c>
      <c r="C8" s="6" t="s">
        <v>30</v>
      </c>
      <c r="D8" s="6"/>
      <c r="E8" s="6">
        <v>1</v>
      </c>
      <c r="F8" s="6"/>
      <c r="G8" s="6"/>
      <c r="H8" s="6"/>
      <c r="I8" s="6"/>
      <c r="J8" s="6" t="s">
        <v>54</v>
      </c>
      <c r="K8" s="6" t="s">
        <v>51</v>
      </c>
      <c r="L8" s="6" t="s">
        <v>20</v>
      </c>
      <c r="M8" s="6" t="s">
        <v>25</v>
      </c>
      <c r="N8" s="6" t="s">
        <v>25</v>
      </c>
      <c r="O8" s="6" t="s">
        <v>25</v>
      </c>
      <c r="P8" s="6" t="s">
        <v>25</v>
      </c>
      <c r="Q8" s="6" t="s">
        <v>27</v>
      </c>
      <c r="R8" s="6" t="s">
        <v>20</v>
      </c>
      <c r="S8" s="6" t="s">
        <v>25</v>
      </c>
      <c r="U8" s="141"/>
      <c r="V8" s="8" t="s">
        <v>6</v>
      </c>
      <c r="W8" s="15">
        <f>+COUNTIF(F5:F39,"1")</f>
        <v>2</v>
      </c>
    </row>
    <row r="9" spans="1:50" x14ac:dyDescent="0.25">
      <c r="A9" s="3">
        <v>5</v>
      </c>
      <c r="B9" s="5">
        <v>42929</v>
      </c>
      <c r="C9" s="6" t="s">
        <v>23</v>
      </c>
      <c r="D9" s="6">
        <v>1</v>
      </c>
      <c r="E9" s="6"/>
      <c r="F9" s="6"/>
      <c r="G9" s="6"/>
      <c r="H9" s="6"/>
      <c r="I9" s="20"/>
      <c r="J9" s="6" t="s">
        <v>54</v>
      </c>
      <c r="K9" s="6" t="s">
        <v>51</v>
      </c>
      <c r="L9" s="6" t="s">
        <v>20</v>
      </c>
      <c r="M9" s="6" t="s">
        <v>20</v>
      </c>
      <c r="N9" s="6" t="s">
        <v>25</v>
      </c>
      <c r="O9" s="6" t="s">
        <v>25</v>
      </c>
      <c r="P9" s="6" t="s">
        <v>25</v>
      </c>
      <c r="Q9" s="6" t="s">
        <v>27</v>
      </c>
      <c r="R9" s="6" t="s">
        <v>20</v>
      </c>
      <c r="S9" s="6" t="s">
        <v>20</v>
      </c>
      <c r="U9" s="141"/>
      <c r="V9" s="8" t="s">
        <v>7</v>
      </c>
      <c r="W9" s="15">
        <f>+COUNTIF(G5:G39,"1")</f>
        <v>4</v>
      </c>
    </row>
    <row r="10" spans="1:50" x14ac:dyDescent="0.25">
      <c r="A10" s="3">
        <v>6</v>
      </c>
      <c r="B10" s="5">
        <v>42929</v>
      </c>
      <c r="C10" s="28" t="s">
        <v>23</v>
      </c>
      <c r="D10" s="6">
        <v>1</v>
      </c>
      <c r="E10" s="6"/>
      <c r="F10" s="6"/>
      <c r="G10" s="6"/>
      <c r="H10" s="6"/>
      <c r="I10" s="6"/>
      <c r="J10" s="6" t="s">
        <v>54</v>
      </c>
      <c r="K10" s="6" t="s">
        <v>51</v>
      </c>
      <c r="L10" s="6" t="s">
        <v>20</v>
      </c>
      <c r="M10" s="6" t="s">
        <v>20</v>
      </c>
      <c r="N10" s="6" t="s">
        <v>20</v>
      </c>
      <c r="O10" s="6" t="s">
        <v>25</v>
      </c>
      <c r="P10" s="6" t="s">
        <v>20</v>
      </c>
      <c r="Q10" s="6" t="s">
        <v>27</v>
      </c>
      <c r="R10" s="6" t="s">
        <v>20</v>
      </c>
      <c r="S10" s="6" t="s">
        <v>20</v>
      </c>
      <c r="U10" s="141"/>
      <c r="V10" s="8" t="s">
        <v>8</v>
      </c>
      <c r="W10" s="15">
        <f>+COUNTIF(H5:H39,"1")</f>
        <v>4</v>
      </c>
    </row>
    <row r="11" spans="1:50" x14ac:dyDescent="0.25">
      <c r="A11" s="3">
        <v>7</v>
      </c>
      <c r="B11" s="5">
        <v>42929</v>
      </c>
      <c r="C11" s="6" t="s">
        <v>30</v>
      </c>
      <c r="D11" s="6"/>
      <c r="E11" s="6"/>
      <c r="F11" s="6"/>
      <c r="G11" s="6"/>
      <c r="H11" s="6"/>
      <c r="I11" s="6">
        <v>1</v>
      </c>
      <c r="J11" s="6" t="s">
        <v>54</v>
      </c>
      <c r="K11" s="6" t="s">
        <v>51</v>
      </c>
      <c r="L11" s="6" t="s">
        <v>25</v>
      </c>
      <c r="M11" s="6" t="s">
        <v>20</v>
      </c>
      <c r="N11" s="6" t="s">
        <v>25</v>
      </c>
      <c r="O11" s="6" t="s">
        <v>25</v>
      </c>
      <c r="P11" s="6" t="s">
        <v>25</v>
      </c>
      <c r="Q11" s="6" t="s">
        <v>34</v>
      </c>
      <c r="R11" s="6" t="s">
        <v>20</v>
      </c>
      <c r="S11" s="6" t="s">
        <v>20</v>
      </c>
      <c r="U11" s="141"/>
      <c r="V11" s="22" t="s">
        <v>9</v>
      </c>
      <c r="W11" s="23">
        <f>+COUNTIF(I5:I39,"1")</f>
        <v>8</v>
      </c>
    </row>
    <row r="12" spans="1:50" ht="15.75" thickBot="1" x14ac:dyDescent="0.3">
      <c r="A12" s="3">
        <v>8</v>
      </c>
      <c r="B12" s="5">
        <v>42929</v>
      </c>
      <c r="C12" s="6" t="s">
        <v>30</v>
      </c>
      <c r="D12" s="6"/>
      <c r="E12" s="6"/>
      <c r="F12" s="6"/>
      <c r="G12" s="6"/>
      <c r="H12" s="6">
        <v>1</v>
      </c>
      <c r="I12" s="6"/>
      <c r="J12" s="6" t="s">
        <v>54</v>
      </c>
      <c r="K12" s="6" t="s">
        <v>51</v>
      </c>
      <c r="L12" s="6" t="s">
        <v>25</v>
      </c>
      <c r="M12" s="6" t="s">
        <v>20</v>
      </c>
      <c r="N12" s="6" t="s">
        <v>20</v>
      </c>
      <c r="O12" s="6" t="s">
        <v>25</v>
      </c>
      <c r="P12" s="6" t="s">
        <v>25</v>
      </c>
      <c r="Q12" s="6" t="s">
        <v>26</v>
      </c>
      <c r="R12" s="6" t="s">
        <v>20</v>
      </c>
      <c r="S12" s="6" t="s">
        <v>20</v>
      </c>
      <c r="U12" s="155"/>
      <c r="V12" s="26" t="s">
        <v>29</v>
      </c>
      <c r="W12" s="16">
        <f>+COUNTIF(I5:I39,"Blanco")</f>
        <v>2</v>
      </c>
    </row>
    <row r="13" spans="1:50" x14ac:dyDescent="0.25">
      <c r="A13" s="3">
        <v>9</v>
      </c>
      <c r="B13" s="5">
        <v>42929</v>
      </c>
      <c r="C13" s="6" t="s">
        <v>23</v>
      </c>
      <c r="D13" s="6"/>
      <c r="E13" s="6"/>
      <c r="F13" s="6"/>
      <c r="G13" s="6"/>
      <c r="H13" s="6"/>
      <c r="I13" s="20" t="s">
        <v>29</v>
      </c>
      <c r="J13" s="6" t="s">
        <v>54</v>
      </c>
      <c r="K13" s="6" t="s">
        <v>51</v>
      </c>
      <c r="L13" s="6" t="s">
        <v>25</v>
      </c>
      <c r="M13" s="6" t="s">
        <v>20</v>
      </c>
      <c r="N13" s="6" t="s">
        <v>25</v>
      </c>
      <c r="O13" s="6" t="s">
        <v>25</v>
      </c>
      <c r="P13" s="6" t="s">
        <v>25</v>
      </c>
      <c r="Q13" s="6" t="s">
        <v>28</v>
      </c>
      <c r="R13" s="6" t="s">
        <v>25</v>
      </c>
      <c r="S13" s="6" t="s">
        <v>20</v>
      </c>
      <c r="U13" s="139" t="s">
        <v>35</v>
      </c>
      <c r="V13" s="24" t="s">
        <v>51</v>
      </c>
      <c r="W13" s="25">
        <f>+COUNTIF(K5:K39,"Gracias")</f>
        <v>15</v>
      </c>
    </row>
    <row r="14" spans="1:50" x14ac:dyDescent="0.25">
      <c r="A14" s="3">
        <v>10</v>
      </c>
      <c r="B14" s="5">
        <v>42929</v>
      </c>
      <c r="C14" s="20" t="s">
        <v>29</v>
      </c>
      <c r="D14" s="6">
        <v>1</v>
      </c>
      <c r="E14" s="6"/>
      <c r="F14" s="6"/>
      <c r="G14" s="6"/>
      <c r="H14" s="6"/>
      <c r="I14" s="6"/>
      <c r="J14" s="6" t="s">
        <v>54</v>
      </c>
      <c r="K14" s="6" t="s">
        <v>51</v>
      </c>
      <c r="L14" s="6" t="s">
        <v>25</v>
      </c>
      <c r="M14" s="6" t="s">
        <v>25</v>
      </c>
      <c r="N14" s="6" t="s">
        <v>25</v>
      </c>
      <c r="O14" s="6" t="s">
        <v>25</v>
      </c>
      <c r="P14" s="6" t="s">
        <v>25</v>
      </c>
      <c r="Q14" s="6" t="s">
        <v>34</v>
      </c>
      <c r="R14" s="6" t="s">
        <v>20</v>
      </c>
      <c r="S14" s="6" t="s">
        <v>20</v>
      </c>
      <c r="U14" s="109"/>
      <c r="V14" s="1" t="s">
        <v>52</v>
      </c>
      <c r="W14" s="15">
        <f>+COUNTIF(K5:K39,"La Campa")</f>
        <v>10</v>
      </c>
    </row>
    <row r="15" spans="1:50" ht="15.75" thickBot="1" x14ac:dyDescent="0.3">
      <c r="A15" s="3">
        <v>11</v>
      </c>
      <c r="B15" s="5">
        <v>42929</v>
      </c>
      <c r="C15" s="28" t="s">
        <v>30</v>
      </c>
      <c r="D15" s="6"/>
      <c r="E15" s="6">
        <v>1</v>
      </c>
      <c r="F15" s="6"/>
      <c r="G15" s="6"/>
      <c r="H15" s="6"/>
      <c r="I15" s="6"/>
      <c r="J15" s="6" t="s">
        <v>54</v>
      </c>
      <c r="K15" s="6" t="s">
        <v>51</v>
      </c>
      <c r="L15" s="6" t="s">
        <v>25</v>
      </c>
      <c r="M15" s="6" t="s">
        <v>25</v>
      </c>
      <c r="N15" s="6" t="s">
        <v>25</v>
      </c>
      <c r="O15" s="6" t="s">
        <v>25</v>
      </c>
      <c r="P15" s="6" t="s">
        <v>25</v>
      </c>
      <c r="Q15" s="6" t="s">
        <v>34</v>
      </c>
      <c r="R15" s="6" t="s">
        <v>20</v>
      </c>
      <c r="S15" s="6" t="s">
        <v>25</v>
      </c>
      <c r="U15" s="110"/>
      <c r="V15" s="27" t="s">
        <v>53</v>
      </c>
      <c r="W15" s="16">
        <f>+COUNTIF(K5:K39,"Las Flores")</f>
        <v>10</v>
      </c>
    </row>
    <row r="16" spans="1:50" ht="15" customHeight="1" x14ac:dyDescent="0.25">
      <c r="A16" s="3">
        <v>12</v>
      </c>
      <c r="B16" s="5">
        <v>42929</v>
      </c>
      <c r="C16" s="6" t="s">
        <v>30</v>
      </c>
      <c r="D16" s="6"/>
      <c r="E16" s="6"/>
      <c r="F16" s="6"/>
      <c r="G16" s="6"/>
      <c r="H16" s="6"/>
      <c r="I16" s="6">
        <v>1</v>
      </c>
      <c r="J16" s="6" t="s">
        <v>54</v>
      </c>
      <c r="K16" s="6" t="s">
        <v>51</v>
      </c>
      <c r="L16" s="6" t="s">
        <v>20</v>
      </c>
      <c r="M16" s="6" t="s">
        <v>20</v>
      </c>
      <c r="N16" s="6" t="s">
        <v>20</v>
      </c>
      <c r="O16" s="6" t="s">
        <v>20</v>
      </c>
      <c r="P16" s="6" t="s">
        <v>20</v>
      </c>
      <c r="Q16" s="6" t="s">
        <v>27</v>
      </c>
      <c r="R16" s="6" t="s">
        <v>20</v>
      </c>
      <c r="S16" s="6" t="s">
        <v>20</v>
      </c>
      <c r="U16" s="137" t="s">
        <v>36</v>
      </c>
      <c r="V16" s="12" t="s">
        <v>20</v>
      </c>
      <c r="W16" s="14">
        <f>+COUNTIF(L5:L39,"Si")</f>
        <v>17</v>
      </c>
      <c r="X16" s="125" t="s">
        <v>118</v>
      </c>
      <c r="Y16" s="48" t="s">
        <v>114</v>
      </c>
      <c r="Z16" s="49">
        <f>COUNTIFS($C$5:$C$65,"M",$L$5:$L$65,"Si")</f>
        <v>6</v>
      </c>
      <c r="AA16" s="125" t="s">
        <v>117</v>
      </c>
      <c r="AB16" s="48" t="s">
        <v>114</v>
      </c>
      <c r="AC16" s="55">
        <f>COUNTIFS($C$5:$C$65,"M",$L$5:$L$65,"No")</f>
        <v>7</v>
      </c>
      <c r="AD16" s="125" t="s">
        <v>118</v>
      </c>
      <c r="AE16" s="48" t="s">
        <v>4</v>
      </c>
      <c r="AF16" s="48">
        <f>COUNTIFS($D$5:$D$65,"1",$L$5:$L$65,"Si")</f>
        <v>4</v>
      </c>
      <c r="AG16" s="48" t="s">
        <v>7</v>
      </c>
      <c r="AH16" s="48">
        <f>COUNTIFS($G$5:$G$65,"1",$L$5:$L$65,"Si")</f>
        <v>3</v>
      </c>
      <c r="AI16" s="48" t="s">
        <v>29</v>
      </c>
      <c r="AJ16" s="49">
        <f>COUNTIFS($I$5:$I$65,"Blanco",$L$5:$L$65,"Si")</f>
        <v>1</v>
      </c>
      <c r="AK16" s="50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x14ac:dyDescent="0.25">
      <c r="A17" s="3">
        <v>13</v>
      </c>
      <c r="B17" s="5">
        <v>42929</v>
      </c>
      <c r="C17" s="6" t="s">
        <v>30</v>
      </c>
      <c r="D17" s="6"/>
      <c r="E17" s="6"/>
      <c r="F17" s="6"/>
      <c r="G17" s="6">
        <v>1</v>
      </c>
      <c r="H17" s="6"/>
      <c r="I17" s="6"/>
      <c r="J17" s="6" t="s">
        <v>54</v>
      </c>
      <c r="K17" s="6" t="s">
        <v>51</v>
      </c>
      <c r="L17" s="6" t="s">
        <v>25</v>
      </c>
      <c r="M17" s="6" t="s">
        <v>20</v>
      </c>
      <c r="N17" s="6" t="s">
        <v>25</v>
      </c>
      <c r="O17" s="6" t="s">
        <v>25</v>
      </c>
      <c r="P17" s="6" t="s">
        <v>25</v>
      </c>
      <c r="Q17" s="6" t="s">
        <v>27</v>
      </c>
      <c r="R17" s="6" t="s">
        <v>20</v>
      </c>
      <c r="S17" s="6" t="s">
        <v>20</v>
      </c>
      <c r="U17" s="109"/>
      <c r="V17" s="9" t="s">
        <v>25</v>
      </c>
      <c r="W17" s="15">
        <f>+COUNTIF(L5:L39,"No")</f>
        <v>18</v>
      </c>
      <c r="X17" s="126"/>
      <c r="Y17" s="6" t="s">
        <v>115</v>
      </c>
      <c r="Z17" s="51">
        <f>COUNTIFS($C$5:$C$65,"F",$L$5:$L$65,"Si")</f>
        <v>10</v>
      </c>
      <c r="AA17" s="126"/>
      <c r="AB17" s="6" t="s">
        <v>115</v>
      </c>
      <c r="AC17" s="57">
        <f>COUNTIFS($C$5:$C$65,"F",$L$5:$L$65,"No")</f>
        <v>9</v>
      </c>
      <c r="AD17" s="126"/>
      <c r="AE17" s="6" t="s">
        <v>5</v>
      </c>
      <c r="AF17" s="6">
        <f>COUNTIFS($E$5:$E$65,"1",$L$5:$L$65,"Si")</f>
        <v>3</v>
      </c>
      <c r="AG17" s="39" t="s">
        <v>8</v>
      </c>
      <c r="AH17" s="6">
        <f>COUNTIFS($H$5:$H$65,"1",$L$5:$L$65,"Si")</f>
        <v>0</v>
      </c>
      <c r="AI17" s="6"/>
      <c r="AJ17" s="51"/>
      <c r="AK17" s="50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5.75" thickBot="1" x14ac:dyDescent="0.3">
      <c r="A18" s="3">
        <v>14</v>
      </c>
      <c r="B18" s="5">
        <v>42929</v>
      </c>
      <c r="C18" s="6" t="s">
        <v>23</v>
      </c>
      <c r="D18" s="6"/>
      <c r="E18" s="6"/>
      <c r="F18" s="6"/>
      <c r="G18" s="6"/>
      <c r="H18" s="6">
        <v>1</v>
      </c>
      <c r="I18" s="6"/>
      <c r="J18" s="6" t="s">
        <v>54</v>
      </c>
      <c r="K18" s="6" t="s">
        <v>51</v>
      </c>
      <c r="L18" s="6" t="s">
        <v>25</v>
      </c>
      <c r="M18" s="6" t="s">
        <v>25</v>
      </c>
      <c r="N18" s="6" t="s">
        <v>25</v>
      </c>
      <c r="O18" s="6" t="s">
        <v>25</v>
      </c>
      <c r="P18" s="6" t="s">
        <v>25</v>
      </c>
      <c r="Q18" s="6" t="s">
        <v>27</v>
      </c>
      <c r="R18" s="6" t="s">
        <v>20</v>
      </c>
      <c r="S18" s="6" t="s">
        <v>20</v>
      </c>
      <c r="U18" s="110"/>
      <c r="V18" s="13" t="s">
        <v>29</v>
      </c>
      <c r="W18" s="16">
        <f>+COUNTIF(L5:L39,"Blanco")</f>
        <v>0</v>
      </c>
      <c r="X18" s="127"/>
      <c r="Y18" s="26" t="s">
        <v>29</v>
      </c>
      <c r="Z18" s="52">
        <f>COUNTIFS($C$5:$C$65,"Blanco",$L$5:$L$65,"Si")</f>
        <v>1</v>
      </c>
      <c r="AA18" s="127"/>
      <c r="AB18" s="26" t="s">
        <v>29</v>
      </c>
      <c r="AC18" s="58">
        <f>COUNTIFS($C$5:$C$65,"Blanco",$L$5:$L$65,"No")</f>
        <v>2</v>
      </c>
      <c r="AD18" s="127"/>
      <c r="AE18" s="26" t="s">
        <v>6</v>
      </c>
      <c r="AF18" s="26">
        <f>COUNTIFS($F$5:$F$65,"1",$L$5:$L$65,"Si")</f>
        <v>1</v>
      </c>
      <c r="AG18" s="26" t="s">
        <v>9</v>
      </c>
      <c r="AH18" s="26">
        <f>COUNTIFS($I$5:$I$65,"1",$L$5:$L$65,"Si")</f>
        <v>5</v>
      </c>
      <c r="AI18" s="26"/>
      <c r="AJ18" s="52"/>
      <c r="AK18" s="50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x14ac:dyDescent="0.25">
      <c r="A19" s="3">
        <v>15</v>
      </c>
      <c r="B19" s="5">
        <v>42929</v>
      </c>
      <c r="C19" s="6" t="s">
        <v>23</v>
      </c>
      <c r="D19" s="6"/>
      <c r="E19" s="6">
        <v>1</v>
      </c>
      <c r="F19" s="6"/>
      <c r="G19" s="6"/>
      <c r="H19" s="6"/>
      <c r="I19" s="6"/>
      <c r="J19" s="6" t="s">
        <v>54</v>
      </c>
      <c r="K19" s="6" t="s">
        <v>51</v>
      </c>
      <c r="L19" s="6" t="s">
        <v>20</v>
      </c>
      <c r="M19" s="6" t="s">
        <v>25</v>
      </c>
      <c r="N19" s="6" t="s">
        <v>25</v>
      </c>
      <c r="O19" s="6" t="s">
        <v>20</v>
      </c>
      <c r="P19" s="6" t="s">
        <v>20</v>
      </c>
      <c r="Q19" s="6" t="s">
        <v>26</v>
      </c>
      <c r="R19" s="6" t="s">
        <v>20</v>
      </c>
      <c r="S19" s="6" t="s">
        <v>25</v>
      </c>
      <c r="U19" s="137" t="s">
        <v>37</v>
      </c>
      <c r="V19" s="12" t="s">
        <v>20</v>
      </c>
      <c r="W19" s="14">
        <f>+COUNTIF(M5:M39,"Si")</f>
        <v>22</v>
      </c>
      <c r="X19" s="125" t="s">
        <v>118</v>
      </c>
      <c r="Y19" s="48" t="s">
        <v>114</v>
      </c>
      <c r="Z19" s="49">
        <f>COUNTIFS($C$5:$C$65,"M",$M$5:$M$65,"Si")</f>
        <v>10</v>
      </c>
      <c r="AA19" s="125" t="s">
        <v>117</v>
      </c>
      <c r="AB19" s="48" t="s">
        <v>114</v>
      </c>
      <c r="AC19" s="55">
        <f>COUNTIFS($C$5:$C$65,"M",$M$5:$M$65,"No")</f>
        <v>3</v>
      </c>
      <c r="AD19" s="132" t="s">
        <v>118</v>
      </c>
      <c r="AE19" s="61" t="s">
        <v>4</v>
      </c>
      <c r="AF19" s="48">
        <f>COUNTIFS($D$5:$D$65,"1",$M$5:$M$65,"Si")</f>
        <v>5</v>
      </c>
      <c r="AG19" s="61" t="s">
        <v>7</v>
      </c>
      <c r="AH19" s="48">
        <f>COUNTIFS($G$5:$G$65,"1",$M$5:$M$65,"Si")</f>
        <v>4</v>
      </c>
      <c r="AI19" s="61" t="s">
        <v>29</v>
      </c>
      <c r="AJ19" s="49">
        <f>COUNTIFS($I$5:$I$65,"Blanco",$M$5:$M$65,"Si")</f>
        <v>2</v>
      </c>
      <c r="AK19" s="50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x14ac:dyDescent="0.25">
      <c r="A20" s="3">
        <v>16</v>
      </c>
      <c r="B20" s="5">
        <v>42927</v>
      </c>
      <c r="C20" s="6" t="s">
        <v>30</v>
      </c>
      <c r="D20" s="6"/>
      <c r="E20" s="6"/>
      <c r="F20" s="6"/>
      <c r="G20" s="6"/>
      <c r="H20" s="6"/>
      <c r="I20" s="6">
        <v>1</v>
      </c>
      <c r="J20" s="6" t="s">
        <v>54</v>
      </c>
      <c r="K20" s="6" t="s">
        <v>52</v>
      </c>
      <c r="L20" s="6" t="s">
        <v>25</v>
      </c>
      <c r="M20" s="6" t="s">
        <v>20</v>
      </c>
      <c r="N20" s="6" t="s">
        <v>25</v>
      </c>
      <c r="O20" s="6" t="s">
        <v>20</v>
      </c>
      <c r="P20" s="6" t="s">
        <v>25</v>
      </c>
      <c r="Q20" s="6" t="s">
        <v>27</v>
      </c>
      <c r="R20" s="6" t="s">
        <v>20</v>
      </c>
      <c r="S20" s="6" t="s">
        <v>20</v>
      </c>
      <c r="U20" s="109"/>
      <c r="V20" s="9" t="s">
        <v>25</v>
      </c>
      <c r="W20" s="15">
        <f>+COUNTIF(M5:M39,"No")</f>
        <v>13</v>
      </c>
      <c r="X20" s="126"/>
      <c r="Y20" s="6" t="s">
        <v>115</v>
      </c>
      <c r="Z20" s="51">
        <f>COUNTIFS($C$5:$C$65,"F",$M$5:$M$65,"Si")</f>
        <v>11</v>
      </c>
      <c r="AA20" s="126"/>
      <c r="AB20" s="6" t="s">
        <v>115</v>
      </c>
      <c r="AC20" s="57">
        <f>COUNTIFS($C$5:$C$65,"F",$M$5:$M$65,"No")</f>
        <v>8</v>
      </c>
      <c r="AD20" s="126"/>
      <c r="AE20" s="6" t="s">
        <v>5</v>
      </c>
      <c r="AF20" s="6">
        <f>COUNTIFS($E$5:$E$65,"1",$M$5:$M$65,"Si")</f>
        <v>2</v>
      </c>
      <c r="AG20" s="39" t="s">
        <v>8</v>
      </c>
      <c r="AH20" s="6">
        <f>COUNTIFS($H$5:$H$65,"1",$M$5:$M$65,"Si")</f>
        <v>1</v>
      </c>
      <c r="AI20" s="6"/>
      <c r="AJ20" s="51"/>
      <c r="AK20" s="50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5.75" thickBot="1" x14ac:dyDescent="0.3">
      <c r="A21" s="3">
        <v>17</v>
      </c>
      <c r="B21" s="5">
        <v>42927</v>
      </c>
      <c r="C21" s="6" t="s">
        <v>23</v>
      </c>
      <c r="D21" s="6">
        <v>1</v>
      </c>
      <c r="E21" s="6"/>
      <c r="F21" s="6"/>
      <c r="G21" s="6"/>
      <c r="H21" s="6"/>
      <c r="I21" s="6"/>
      <c r="J21" s="6" t="s">
        <v>54</v>
      </c>
      <c r="K21" s="6" t="s">
        <v>52</v>
      </c>
      <c r="L21" s="6" t="s">
        <v>25</v>
      </c>
      <c r="M21" s="6" t="s">
        <v>20</v>
      </c>
      <c r="N21" s="6" t="s">
        <v>25</v>
      </c>
      <c r="O21" s="6" t="s">
        <v>25</v>
      </c>
      <c r="P21" s="6" t="s">
        <v>20</v>
      </c>
      <c r="Q21" s="6" t="s">
        <v>28</v>
      </c>
      <c r="R21" s="6" t="s">
        <v>25</v>
      </c>
      <c r="S21" s="6" t="s">
        <v>20</v>
      </c>
      <c r="U21" s="110"/>
      <c r="V21" s="13" t="s">
        <v>29</v>
      </c>
      <c r="W21" s="16">
        <f>+COUNTIF(M5:M39,"Blanco")</f>
        <v>0</v>
      </c>
      <c r="X21" s="127"/>
      <c r="Y21" s="26" t="s">
        <v>29</v>
      </c>
      <c r="Z21" s="52">
        <f>COUNTIFS($C$5:$C$65,"Blanco",$M$5:$M$65,"Si")</f>
        <v>1</v>
      </c>
      <c r="AA21" s="127"/>
      <c r="AB21" s="26" t="s">
        <v>29</v>
      </c>
      <c r="AC21" s="58">
        <f>COUNTIFS($C$5:$C$65,"Blanco",$M$5:$M$65,"No")</f>
        <v>2</v>
      </c>
      <c r="AD21" s="127"/>
      <c r="AE21" s="26" t="s">
        <v>6</v>
      </c>
      <c r="AF21" s="26">
        <f>COUNTIFS($F$5:$F$65,"1",$M$5:$M$65,"Si")</f>
        <v>2</v>
      </c>
      <c r="AG21" s="26" t="s">
        <v>9</v>
      </c>
      <c r="AH21" s="26">
        <f>COUNTIFS($I$5:$I$65,"1",$M$5:$M$65,"Si")</f>
        <v>6</v>
      </c>
      <c r="AI21" s="26"/>
      <c r="AJ21" s="52"/>
      <c r="AK21" s="50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x14ac:dyDescent="0.25">
      <c r="A22" s="3">
        <v>18</v>
      </c>
      <c r="B22" s="5">
        <v>42927</v>
      </c>
      <c r="C22" s="6" t="s">
        <v>23</v>
      </c>
      <c r="D22" s="6"/>
      <c r="E22" s="6"/>
      <c r="F22" s="6"/>
      <c r="G22" s="6"/>
      <c r="H22" s="6"/>
      <c r="I22" s="6">
        <v>1</v>
      </c>
      <c r="J22" s="6" t="s">
        <v>54</v>
      </c>
      <c r="K22" s="6" t="s">
        <v>52</v>
      </c>
      <c r="L22" s="6" t="s">
        <v>20</v>
      </c>
      <c r="M22" s="6" t="s">
        <v>25</v>
      </c>
      <c r="N22" s="6" t="s">
        <v>20</v>
      </c>
      <c r="O22" s="6" t="s">
        <v>25</v>
      </c>
      <c r="P22" s="6" t="s">
        <v>25</v>
      </c>
      <c r="Q22" s="6" t="s">
        <v>27</v>
      </c>
      <c r="R22" s="6" t="s">
        <v>20</v>
      </c>
      <c r="S22" s="6" t="s">
        <v>20</v>
      </c>
      <c r="U22" s="137" t="s">
        <v>38</v>
      </c>
      <c r="V22" s="12" t="s">
        <v>20</v>
      </c>
      <c r="W22" s="14">
        <f>+COUNTIF(N5:N39,"Si")</f>
        <v>13</v>
      </c>
      <c r="X22" s="125" t="s">
        <v>118</v>
      </c>
      <c r="Y22" s="48" t="s">
        <v>114</v>
      </c>
      <c r="Z22" s="49">
        <f>COUNTIFS($C$5:$C$65,"M",$N$5:$N$65,"Si")</f>
        <v>6</v>
      </c>
      <c r="AA22" s="125" t="s">
        <v>117</v>
      </c>
      <c r="AB22" s="48" t="s">
        <v>114</v>
      </c>
      <c r="AC22" s="55">
        <f>COUNTIFS($C$5:$C$65,"M",$N$5:$N$65,"No")</f>
        <v>7</v>
      </c>
      <c r="AD22" s="125" t="s">
        <v>117</v>
      </c>
      <c r="AE22" s="48" t="s">
        <v>4</v>
      </c>
      <c r="AF22" s="48">
        <f>COUNTIFS($D$5:$D$65,"1",$N$5:$N$65,"No")</f>
        <v>7</v>
      </c>
      <c r="AG22" s="48" t="s">
        <v>7</v>
      </c>
      <c r="AH22" s="48">
        <f>COUNTIFS($G$5:$G$65,"1",$N$5:$N$65,"No")</f>
        <v>2</v>
      </c>
      <c r="AI22" s="48" t="s">
        <v>29</v>
      </c>
      <c r="AJ22" s="49">
        <f>COUNTIFS($I$5:$I$65,"Blanco",$N$5:$N$65,"No")</f>
        <v>1</v>
      </c>
      <c r="AK22" s="50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x14ac:dyDescent="0.25">
      <c r="A23" s="3">
        <v>19</v>
      </c>
      <c r="B23" s="5">
        <v>42927</v>
      </c>
      <c r="C23" s="6" t="s">
        <v>23</v>
      </c>
      <c r="D23" s="6"/>
      <c r="E23" s="6">
        <v>1</v>
      </c>
      <c r="F23" s="6"/>
      <c r="G23" s="6"/>
      <c r="H23" s="6"/>
      <c r="I23" s="6"/>
      <c r="J23" s="6" t="s">
        <v>54</v>
      </c>
      <c r="K23" s="6" t="s">
        <v>52</v>
      </c>
      <c r="L23" s="6" t="s">
        <v>25</v>
      </c>
      <c r="M23" s="6" t="s">
        <v>25</v>
      </c>
      <c r="N23" s="20" t="s">
        <v>25</v>
      </c>
      <c r="O23" s="6" t="s">
        <v>25</v>
      </c>
      <c r="P23" s="6" t="s">
        <v>25</v>
      </c>
      <c r="Q23" s="6" t="s">
        <v>27</v>
      </c>
      <c r="R23" s="6" t="s">
        <v>20</v>
      </c>
      <c r="S23" s="6" t="s">
        <v>25</v>
      </c>
      <c r="U23" s="109"/>
      <c r="V23" s="9" t="s">
        <v>25</v>
      </c>
      <c r="W23" s="15">
        <f>+COUNTIF(N5:N39,"No")</f>
        <v>22</v>
      </c>
      <c r="X23" s="126"/>
      <c r="Y23" s="6" t="s">
        <v>115</v>
      </c>
      <c r="Z23" s="51">
        <f>COUNTIFS($C$5:$C$65,"F",$N$5:$N$65,"Si")</f>
        <v>7</v>
      </c>
      <c r="AA23" s="126"/>
      <c r="AB23" s="6" t="s">
        <v>115</v>
      </c>
      <c r="AC23" s="57">
        <f>COUNTIFS($C$5:$C$65,"F",$N$5:$N$65,"No")</f>
        <v>12</v>
      </c>
      <c r="AD23" s="126"/>
      <c r="AE23" s="6" t="s">
        <v>5</v>
      </c>
      <c r="AF23" s="6">
        <f>COUNTIFS($E$5:$E$65,"1",$N$5:$N$65,"No")</f>
        <v>5</v>
      </c>
      <c r="AG23" s="39" t="s">
        <v>8</v>
      </c>
      <c r="AH23" s="6">
        <f>COUNTIFS($H$5:$H$65,"1",$N$5:$N$65,"No")</f>
        <v>3</v>
      </c>
      <c r="AI23" s="6"/>
      <c r="AJ23" s="51"/>
      <c r="AK23" s="50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5.75" thickBot="1" x14ac:dyDescent="0.3">
      <c r="A24" s="3">
        <v>20</v>
      </c>
      <c r="B24" s="21" t="s">
        <v>29</v>
      </c>
      <c r="C24" s="20" t="s">
        <v>29</v>
      </c>
      <c r="D24" s="6"/>
      <c r="E24" s="6"/>
      <c r="F24" s="6"/>
      <c r="G24" s="6"/>
      <c r="H24" s="6">
        <v>1</v>
      </c>
      <c r="I24" s="20"/>
      <c r="J24" s="6" t="s">
        <v>54</v>
      </c>
      <c r="K24" s="6" t="s">
        <v>52</v>
      </c>
      <c r="L24" s="6" t="s">
        <v>25</v>
      </c>
      <c r="M24" s="6" t="s">
        <v>25</v>
      </c>
      <c r="N24" s="6" t="s">
        <v>25</v>
      </c>
      <c r="O24" s="6" t="s">
        <v>20</v>
      </c>
      <c r="P24" s="6" t="s">
        <v>25</v>
      </c>
      <c r="Q24" s="6" t="s">
        <v>27</v>
      </c>
      <c r="R24" s="6" t="s">
        <v>25</v>
      </c>
      <c r="S24" s="6" t="s">
        <v>20</v>
      </c>
      <c r="U24" s="110"/>
      <c r="V24" s="13" t="s">
        <v>29</v>
      </c>
      <c r="W24" s="16">
        <f>+COUNTIF(N5:N39,"Blanco")</f>
        <v>0</v>
      </c>
      <c r="X24" s="127"/>
      <c r="Y24" s="26" t="s">
        <v>29</v>
      </c>
      <c r="Z24" s="52">
        <f>COUNTIFS($C$5:$C$65,"Blanco",$N$5:$N$65,"Si")</f>
        <v>0</v>
      </c>
      <c r="AA24" s="127"/>
      <c r="AB24" s="26" t="s">
        <v>29</v>
      </c>
      <c r="AC24" s="58">
        <f>COUNTIFS($C$5:$C$65,"Blanco",$N$5:$N$65,"No")</f>
        <v>3</v>
      </c>
      <c r="AD24" s="127"/>
      <c r="AE24" s="26" t="s">
        <v>6</v>
      </c>
      <c r="AF24" s="26">
        <f>COUNTIFS($F$5:$F$65,"1",$N$5:$N$65,"No")</f>
        <v>1</v>
      </c>
      <c r="AG24" s="26" t="s">
        <v>9</v>
      </c>
      <c r="AH24" s="26">
        <f>COUNTIFS($I$5:$I$65,"1",$N$5:$N$65,"No")</f>
        <v>3</v>
      </c>
      <c r="AI24" s="26"/>
      <c r="AJ24" s="52"/>
      <c r="AK24" s="50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x14ac:dyDescent="0.25">
      <c r="A25" s="3">
        <v>21</v>
      </c>
      <c r="B25" s="5">
        <v>42927</v>
      </c>
      <c r="C25" s="6" t="s">
        <v>23</v>
      </c>
      <c r="D25" s="6">
        <v>1</v>
      </c>
      <c r="E25" s="6"/>
      <c r="F25" s="6"/>
      <c r="G25" s="6"/>
      <c r="H25" s="6"/>
      <c r="I25" s="6"/>
      <c r="J25" s="6" t="s">
        <v>54</v>
      </c>
      <c r="K25" s="6" t="s">
        <v>52</v>
      </c>
      <c r="L25" s="6" t="s">
        <v>25</v>
      </c>
      <c r="M25" s="6" t="s">
        <v>25</v>
      </c>
      <c r="N25" s="6" t="s">
        <v>25</v>
      </c>
      <c r="O25" s="6" t="s">
        <v>25</v>
      </c>
      <c r="P25" s="6" t="s">
        <v>25</v>
      </c>
      <c r="Q25" s="6" t="s">
        <v>27</v>
      </c>
      <c r="R25" s="6" t="s">
        <v>25</v>
      </c>
      <c r="S25" s="6" t="s">
        <v>20</v>
      </c>
      <c r="U25" s="137" t="s">
        <v>39</v>
      </c>
      <c r="V25" s="12" t="s">
        <v>20</v>
      </c>
      <c r="W25" s="14">
        <f>+COUNTIF(O5:O39,"Si")</f>
        <v>9</v>
      </c>
      <c r="X25" s="125" t="s">
        <v>118</v>
      </c>
      <c r="Y25" s="48" t="s">
        <v>114</v>
      </c>
      <c r="Z25" s="49">
        <f>COUNTIFS($C$5:$C$65,"M",$O$5:O65,"Si")</f>
        <v>3</v>
      </c>
      <c r="AA25" s="128" t="s">
        <v>117</v>
      </c>
      <c r="AB25" s="19" t="s">
        <v>114</v>
      </c>
      <c r="AC25" s="65">
        <f>COUNTIFS($C$5:$C$65,"M",$O$5:$O$65,"No")</f>
        <v>10</v>
      </c>
      <c r="AD25" s="128" t="s">
        <v>117</v>
      </c>
      <c r="AE25" s="19" t="s">
        <v>4</v>
      </c>
      <c r="AF25" s="19">
        <f>COUNTIFS($D$5:$D$65,"1",$O$5:$O$65,"No")</f>
        <v>8</v>
      </c>
      <c r="AG25" s="19" t="s">
        <v>7</v>
      </c>
      <c r="AH25" s="19">
        <f>COUNTIFS($G$5:$G$65,"1",$O$5:$O$65,"No")</f>
        <v>2</v>
      </c>
      <c r="AI25" s="19" t="s">
        <v>29</v>
      </c>
      <c r="AJ25" s="66">
        <f>COUNTIFS($I$5:$I$65,"Blanco",$O$5:$O$65,"No")</f>
        <v>2</v>
      </c>
      <c r="AK25" s="50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x14ac:dyDescent="0.25">
      <c r="A26" s="3">
        <v>22</v>
      </c>
      <c r="B26" s="5">
        <v>42927</v>
      </c>
      <c r="C26" s="6" t="s">
        <v>23</v>
      </c>
      <c r="D26" s="6"/>
      <c r="E26" s="6"/>
      <c r="F26" s="6"/>
      <c r="G26" s="6"/>
      <c r="H26" s="6"/>
      <c r="I26" s="20" t="s">
        <v>29</v>
      </c>
      <c r="J26" s="6" t="s">
        <v>54</v>
      </c>
      <c r="K26" s="6" t="s">
        <v>52</v>
      </c>
      <c r="L26" s="6" t="s">
        <v>20</v>
      </c>
      <c r="M26" s="6" t="s">
        <v>20</v>
      </c>
      <c r="N26" s="6" t="s">
        <v>20</v>
      </c>
      <c r="O26" s="6" t="s">
        <v>25</v>
      </c>
      <c r="P26" s="6" t="s">
        <v>25</v>
      </c>
      <c r="Q26" s="6" t="s">
        <v>27</v>
      </c>
      <c r="R26" s="6" t="s">
        <v>20</v>
      </c>
      <c r="S26" s="6" t="s">
        <v>20</v>
      </c>
      <c r="U26" s="109"/>
      <c r="V26" s="9" t="s">
        <v>25</v>
      </c>
      <c r="W26" s="15">
        <f>+COUNTIF(O5:O39,"No")</f>
        <v>26</v>
      </c>
      <c r="X26" s="126"/>
      <c r="Y26" s="6" t="s">
        <v>115</v>
      </c>
      <c r="Z26" s="51">
        <f>COUNTIFS($C$5:$C$65,"F",$O$5:$O$65,"Si")</f>
        <v>5</v>
      </c>
      <c r="AA26" s="129"/>
      <c r="AB26" s="35" t="s">
        <v>115</v>
      </c>
      <c r="AC26" s="67">
        <f>COUNTIFS($C$2:$C$65,"F",$O$2:$O$65,"No")</f>
        <v>14</v>
      </c>
      <c r="AD26" s="129"/>
      <c r="AE26" s="35" t="s">
        <v>5</v>
      </c>
      <c r="AF26" s="35">
        <f>COUNTIFS($E$5:$E$65,"1",$O$5:$O$65,"No")</f>
        <v>6</v>
      </c>
      <c r="AG26" s="9" t="s">
        <v>8</v>
      </c>
      <c r="AH26" s="35">
        <f>COUNTIFS($H$5:$H$65,"1",$O$5:$O$65,"No")</f>
        <v>3</v>
      </c>
      <c r="AI26" s="35"/>
      <c r="AJ26" s="68"/>
      <c r="AK26" s="50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5.75" thickBot="1" x14ac:dyDescent="0.3">
      <c r="A27" s="3">
        <v>23</v>
      </c>
      <c r="B27" s="5">
        <v>42927</v>
      </c>
      <c r="C27" s="6" t="s">
        <v>30</v>
      </c>
      <c r="D27" s="6">
        <v>1</v>
      </c>
      <c r="E27" s="6"/>
      <c r="F27" s="6"/>
      <c r="G27" s="6"/>
      <c r="H27" s="6"/>
      <c r="I27" s="6"/>
      <c r="J27" s="6" t="s">
        <v>54</v>
      </c>
      <c r="K27" s="6" t="s">
        <v>52</v>
      </c>
      <c r="L27" s="6" t="s">
        <v>20</v>
      </c>
      <c r="M27" s="6" t="s">
        <v>20</v>
      </c>
      <c r="N27" s="6" t="s">
        <v>25</v>
      </c>
      <c r="O27" s="6" t="s">
        <v>25</v>
      </c>
      <c r="P27" s="6" t="s">
        <v>25</v>
      </c>
      <c r="Q27" s="6" t="s">
        <v>27</v>
      </c>
      <c r="R27" s="6" t="s">
        <v>25</v>
      </c>
      <c r="S27" s="6" t="s">
        <v>20</v>
      </c>
      <c r="U27" s="110"/>
      <c r="V27" s="13" t="s">
        <v>29</v>
      </c>
      <c r="W27" s="16">
        <f>+COUNTIF(O5:O39,"Blanco")</f>
        <v>0</v>
      </c>
      <c r="X27" s="127"/>
      <c r="Y27" s="26" t="s">
        <v>29</v>
      </c>
      <c r="Z27" s="52">
        <f>COUNTIFS($C$5:$C$65,"Blanco",$O$5:$O$65,"Si")</f>
        <v>1</v>
      </c>
      <c r="AA27" s="130"/>
      <c r="AB27" s="27" t="s">
        <v>29</v>
      </c>
      <c r="AC27" s="69">
        <f>COUNTIFS($C$2:$C$65,"Blanco",$O$2:$O$65,"No")</f>
        <v>2</v>
      </c>
      <c r="AD27" s="130"/>
      <c r="AE27" s="27" t="s">
        <v>6</v>
      </c>
      <c r="AF27" s="27">
        <f>COUNTIFS($F$5:$F$65,"1",$O$5:$O$65,"No")</f>
        <v>1</v>
      </c>
      <c r="AG27" s="27" t="s">
        <v>9</v>
      </c>
      <c r="AH27" s="27">
        <f>COUNTIFS($I$5:$I$65,"1",$O$5:$O$65,"No")</f>
        <v>4</v>
      </c>
      <c r="AI27" s="27"/>
      <c r="AJ27" s="70"/>
      <c r="AK27" s="50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x14ac:dyDescent="0.25">
      <c r="A28" s="3">
        <v>24</v>
      </c>
      <c r="B28" s="5">
        <v>42927</v>
      </c>
      <c r="C28" s="6" t="s">
        <v>30</v>
      </c>
      <c r="D28" s="6"/>
      <c r="E28" s="6">
        <v>1</v>
      </c>
      <c r="F28" s="6"/>
      <c r="G28" s="6"/>
      <c r="H28" s="6"/>
      <c r="I28" s="6"/>
      <c r="J28" s="6" t="s">
        <v>54</v>
      </c>
      <c r="K28" s="6" t="s">
        <v>52</v>
      </c>
      <c r="L28" s="6" t="s">
        <v>25</v>
      </c>
      <c r="M28" s="6" t="s">
        <v>20</v>
      </c>
      <c r="N28" s="6" t="s">
        <v>20</v>
      </c>
      <c r="O28" s="6" t="s">
        <v>25</v>
      </c>
      <c r="P28" s="6" t="s">
        <v>20</v>
      </c>
      <c r="Q28" s="6" t="s">
        <v>26</v>
      </c>
      <c r="R28" s="6" t="s">
        <v>20</v>
      </c>
      <c r="S28" s="6" t="s">
        <v>20</v>
      </c>
      <c r="U28" s="137" t="s">
        <v>40</v>
      </c>
      <c r="V28" s="12" t="s">
        <v>20</v>
      </c>
      <c r="W28" s="14">
        <f>+COUNTIF(P5:P39,"Si")</f>
        <v>10</v>
      </c>
      <c r="X28" s="125" t="s">
        <v>118</v>
      </c>
      <c r="Y28" s="48" t="s">
        <v>114</v>
      </c>
      <c r="Z28" s="49">
        <f>COUNTIFS($C$5:$C$65,"M",$P$5:$P$65,"Si")</f>
        <v>4</v>
      </c>
      <c r="AA28" s="128" t="s">
        <v>117</v>
      </c>
      <c r="AB28" s="19" t="s">
        <v>114</v>
      </c>
      <c r="AC28" s="65">
        <f>COUNTIFS($C$5:$C$65,"M",$P$5:$P$65,"No")</f>
        <v>9</v>
      </c>
      <c r="AD28" s="128" t="s">
        <v>117</v>
      </c>
      <c r="AE28" s="19" t="s">
        <v>4</v>
      </c>
      <c r="AF28" s="19">
        <f>COUNTIFS($D$5:$D$65,"1",$P$5:$P$65,"No")</f>
        <v>5</v>
      </c>
      <c r="AG28" s="19" t="s">
        <v>7</v>
      </c>
      <c r="AH28" s="19">
        <f>COUNTIFS($G$5:$G$65,"1",$P$5:$P$65,"No")</f>
        <v>3</v>
      </c>
      <c r="AI28" s="19" t="s">
        <v>29</v>
      </c>
      <c r="AJ28" s="66">
        <f>COUNTIFS($I$5:$I$65,"Blanco",$P$5:$P$65,"No")</f>
        <v>2</v>
      </c>
      <c r="AK28" s="50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x14ac:dyDescent="0.25">
      <c r="A29" s="3">
        <v>25</v>
      </c>
      <c r="B29" s="5">
        <v>42927</v>
      </c>
      <c r="C29" s="6" t="s">
        <v>23</v>
      </c>
      <c r="D29" s="6"/>
      <c r="E29" s="6">
        <v>1</v>
      </c>
      <c r="F29" s="6"/>
      <c r="G29" s="6"/>
      <c r="H29" s="6"/>
      <c r="I29" s="6"/>
      <c r="J29" s="6" t="s">
        <v>54</v>
      </c>
      <c r="K29" s="6" t="s">
        <v>52</v>
      </c>
      <c r="L29" s="6" t="s">
        <v>25</v>
      </c>
      <c r="M29" s="6" t="s">
        <v>25</v>
      </c>
      <c r="N29" s="6" t="s">
        <v>25</v>
      </c>
      <c r="O29" s="6" t="s">
        <v>25</v>
      </c>
      <c r="P29" s="6" t="s">
        <v>25</v>
      </c>
      <c r="Q29" s="20" t="s">
        <v>34</v>
      </c>
      <c r="R29" s="6" t="s">
        <v>20</v>
      </c>
      <c r="S29" s="6" t="s">
        <v>25</v>
      </c>
      <c r="U29" s="109"/>
      <c r="V29" s="9" t="s">
        <v>25</v>
      </c>
      <c r="W29" s="15">
        <f>+COUNTIF(P5:P39,"No")</f>
        <v>25</v>
      </c>
      <c r="X29" s="126"/>
      <c r="Y29" s="6" t="s">
        <v>115</v>
      </c>
      <c r="Z29" s="51">
        <f>COUNTIFS($C$5:$C$65,"F",$P$5:$P$65,"Si")</f>
        <v>6</v>
      </c>
      <c r="AA29" s="129"/>
      <c r="AB29" s="35" t="s">
        <v>115</v>
      </c>
      <c r="AC29" s="67">
        <f>COUNTIFS($C$5:$C$65,"F",$P$5:$P$65,"NO")</f>
        <v>13</v>
      </c>
      <c r="AD29" s="129"/>
      <c r="AE29" s="35" t="s">
        <v>5</v>
      </c>
      <c r="AF29" s="35">
        <f>COUNTIFS($E$5:$E$65,"1",$P$5:$P$65,"No")</f>
        <v>4</v>
      </c>
      <c r="AG29" s="9" t="s">
        <v>8</v>
      </c>
      <c r="AH29" s="35">
        <f>COUNTIFS($H$5:$H$65,"1",$P$5:$P$65,"No")</f>
        <v>4</v>
      </c>
      <c r="AI29" s="35"/>
      <c r="AJ29" s="68"/>
      <c r="AK29" s="50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5.75" thickBot="1" x14ac:dyDescent="0.3">
      <c r="A30" s="3">
        <v>26</v>
      </c>
      <c r="B30" s="5">
        <v>42928</v>
      </c>
      <c r="C30" s="6" t="s">
        <v>23</v>
      </c>
      <c r="D30" s="6"/>
      <c r="E30" s="6"/>
      <c r="F30" s="6"/>
      <c r="G30" s="6"/>
      <c r="H30" s="6">
        <v>1</v>
      </c>
      <c r="I30" s="6"/>
      <c r="J30" s="6" t="s">
        <v>54</v>
      </c>
      <c r="K30" s="6" t="s">
        <v>53</v>
      </c>
      <c r="L30" s="6" t="s">
        <v>25</v>
      </c>
      <c r="M30" s="6" t="s">
        <v>25</v>
      </c>
      <c r="N30" s="6" t="s">
        <v>25</v>
      </c>
      <c r="O30" s="6" t="s">
        <v>25</v>
      </c>
      <c r="P30" s="6" t="s">
        <v>25</v>
      </c>
      <c r="Q30" s="6" t="s">
        <v>34</v>
      </c>
      <c r="R30" s="6" t="s">
        <v>20</v>
      </c>
      <c r="S30" s="6" t="s">
        <v>25</v>
      </c>
      <c r="U30" s="110"/>
      <c r="V30" s="13" t="s">
        <v>29</v>
      </c>
      <c r="W30" s="16">
        <f>+COUNTIF(P5:P39,"Blanco")</f>
        <v>0</v>
      </c>
      <c r="X30" s="154"/>
      <c r="Y30" s="34" t="s">
        <v>29</v>
      </c>
      <c r="Z30" s="53">
        <f>COUNTIFS($C$5:$C$65,"Blanco",$P$5:$P$65,"Si")</f>
        <v>0</v>
      </c>
      <c r="AA30" s="153"/>
      <c r="AB30" s="71" t="s">
        <v>29</v>
      </c>
      <c r="AC30" s="72">
        <f>COUNTIFS($C$5:$C$65,"Blanco",$P$5:$P$65,"No")</f>
        <v>3</v>
      </c>
      <c r="AD30" s="130"/>
      <c r="AE30" s="27" t="s">
        <v>6</v>
      </c>
      <c r="AF30" s="27">
        <f>COUNTIFS($F$5:$F$65,"1",$P$5:$P$65,"No")</f>
        <v>1</v>
      </c>
      <c r="AG30" s="71" t="s">
        <v>9</v>
      </c>
      <c r="AH30" s="71">
        <f>COUNTIFS($I$5:$I$65,"1",$P$5:$P$65,"No")</f>
        <v>6</v>
      </c>
      <c r="AI30" s="71"/>
      <c r="AJ30" s="73"/>
      <c r="AK30" s="5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</row>
    <row r="31" spans="1:50" x14ac:dyDescent="0.25">
      <c r="A31" s="3">
        <v>27</v>
      </c>
      <c r="B31" s="5">
        <v>42928</v>
      </c>
      <c r="C31" s="6" t="s">
        <v>23</v>
      </c>
      <c r="D31" s="6"/>
      <c r="E31" s="6"/>
      <c r="F31" s="6">
        <v>1</v>
      </c>
      <c r="G31" s="6"/>
      <c r="H31" s="6"/>
      <c r="I31" s="6"/>
      <c r="J31" s="6" t="s">
        <v>54</v>
      </c>
      <c r="K31" s="6" t="s">
        <v>53</v>
      </c>
      <c r="L31" s="6" t="s">
        <v>20</v>
      </c>
      <c r="M31" s="6" t="s">
        <v>20</v>
      </c>
      <c r="N31" s="6" t="s">
        <v>20</v>
      </c>
      <c r="O31" s="6" t="s">
        <v>20</v>
      </c>
      <c r="P31" s="6" t="s">
        <v>20</v>
      </c>
      <c r="Q31" s="6" t="s">
        <v>28</v>
      </c>
      <c r="R31" s="6" t="s">
        <v>25</v>
      </c>
      <c r="S31" s="6" t="s">
        <v>20</v>
      </c>
      <c r="U31" s="137" t="s">
        <v>41</v>
      </c>
      <c r="V31" s="12" t="s">
        <v>27</v>
      </c>
      <c r="W31" s="14">
        <f>+COUNTIF(Q5:Q39,"Elevada")</f>
        <v>21</v>
      </c>
      <c r="X31" s="125" t="s">
        <v>116</v>
      </c>
      <c r="Y31" s="48" t="s">
        <v>114</v>
      </c>
      <c r="Z31" s="49">
        <f>COUNTIFS($C$5:$C$65,"M",$Q$5:$Q$65,"Elevada")</f>
        <v>7</v>
      </c>
      <c r="AA31" s="125" t="s">
        <v>119</v>
      </c>
      <c r="AB31" s="48" t="s">
        <v>114</v>
      </c>
      <c r="AC31" s="49">
        <f>COUNTIFS($C$5:$C$65,"M",$Q$5:$Q$65,"Alguna")</f>
        <v>0</v>
      </c>
      <c r="AD31" s="125" t="s">
        <v>120</v>
      </c>
      <c r="AE31" s="48" t="s">
        <v>114</v>
      </c>
      <c r="AF31" s="49">
        <f>COUNTIFS($C$5:$C$65,"M",$Q$5:$Q$65,"Poca")</f>
        <v>3</v>
      </c>
      <c r="AG31" s="125" t="s">
        <v>121</v>
      </c>
      <c r="AH31" s="48" t="s">
        <v>114</v>
      </c>
      <c r="AI31" s="55">
        <f>COUNTIFS($C$5:$C$65,"M",$Q$5:$Q$65,"Ninguna")</f>
        <v>3</v>
      </c>
      <c r="AJ31" s="55"/>
      <c r="AK31" s="125" t="s">
        <v>122</v>
      </c>
      <c r="AL31" s="56" t="s">
        <v>4</v>
      </c>
      <c r="AM31" s="48">
        <f>COUNTIFS($D$5:$D$65,"1",$Q$5:$Q$65,"Elevada")</f>
        <v>6</v>
      </c>
      <c r="AN31" s="48" t="s">
        <v>7</v>
      </c>
      <c r="AO31" s="48">
        <f>COUNTIFS($G$5:$G$65,"1",$Q$5:$Q$65,"Elevada")</f>
        <v>3</v>
      </c>
      <c r="AP31" s="48" t="s">
        <v>29</v>
      </c>
      <c r="AQ31" s="49">
        <f>COUNTIFS($I$5:$I$65,"Blanco",$Q$5:$Q$65,"Elevada")</f>
        <v>1</v>
      </c>
      <c r="AR31" s="125" t="s">
        <v>119</v>
      </c>
      <c r="AS31" s="48" t="s">
        <v>4</v>
      </c>
      <c r="AT31" s="48">
        <f>COUNTIFS($D$5:$D$65,"1",$Q$5:$Q$65,"Alguna")</f>
        <v>1</v>
      </c>
      <c r="AU31" s="48" t="s">
        <v>7</v>
      </c>
      <c r="AV31" s="48">
        <f>COUNTIFS($G$5:$G$65,"1",$Q$5:$Q$65,"Alguna")</f>
        <v>1</v>
      </c>
      <c r="AW31" s="48" t="s">
        <v>29</v>
      </c>
      <c r="AX31" s="49">
        <f>COUNTIFS($I$5:$I$65,"Blanco",$Q$5:$Q$65,"Alguna")</f>
        <v>1</v>
      </c>
    </row>
    <row r="32" spans="1:50" x14ac:dyDescent="0.25">
      <c r="A32" s="3">
        <v>28</v>
      </c>
      <c r="B32" s="5">
        <v>42928</v>
      </c>
      <c r="C32" s="6" t="s">
        <v>23</v>
      </c>
      <c r="D32" s="6"/>
      <c r="E32" s="6"/>
      <c r="F32" s="6">
        <v>1</v>
      </c>
      <c r="G32" s="6"/>
      <c r="H32" s="6"/>
      <c r="I32" s="6"/>
      <c r="J32" s="6" t="s">
        <v>54</v>
      </c>
      <c r="K32" s="6" t="s">
        <v>53</v>
      </c>
      <c r="L32" s="6" t="s">
        <v>25</v>
      </c>
      <c r="M32" s="6" t="s">
        <v>20</v>
      </c>
      <c r="N32" s="6" t="s">
        <v>25</v>
      </c>
      <c r="O32" s="6" t="s">
        <v>25</v>
      </c>
      <c r="P32" s="6" t="s">
        <v>25</v>
      </c>
      <c r="Q32" s="6" t="s">
        <v>27</v>
      </c>
      <c r="R32" s="6" t="s">
        <v>20</v>
      </c>
      <c r="S32" s="6" t="s">
        <v>20</v>
      </c>
      <c r="U32" s="109"/>
      <c r="V32" s="9" t="s">
        <v>28</v>
      </c>
      <c r="W32" s="15">
        <f>+COUNTIF(Q5:Q39,"Alguna")</f>
        <v>4</v>
      </c>
      <c r="X32" s="126"/>
      <c r="Y32" s="6" t="s">
        <v>115</v>
      </c>
      <c r="Z32" s="51">
        <f>COUNTIFS($C$5:$C$65,"F",$Q$5:$Q$65,"Elevada")</f>
        <v>12</v>
      </c>
      <c r="AA32" s="126"/>
      <c r="AB32" s="6" t="s">
        <v>115</v>
      </c>
      <c r="AC32" s="51">
        <f>COUNTIFS($C$5:$C$65,"F",$Q$5:$Q$65,"Alguna")</f>
        <v>4</v>
      </c>
      <c r="AD32" s="126"/>
      <c r="AE32" s="6" t="s">
        <v>115</v>
      </c>
      <c r="AF32" s="51">
        <f>COUNTIFS($C$5:$C$65,"F",$Q$5:$Q$65,"Poca")</f>
        <v>1</v>
      </c>
      <c r="AG32" s="126"/>
      <c r="AH32" s="6" t="s">
        <v>115</v>
      </c>
      <c r="AI32" s="57">
        <f>COUNTIFS($C$5:$C$65,"F",$Q$5:$Q$65,"Ninguna")</f>
        <v>2</v>
      </c>
      <c r="AJ32" s="57"/>
      <c r="AK32" s="126"/>
      <c r="AL32" s="50" t="s">
        <v>5</v>
      </c>
      <c r="AM32" s="6">
        <f>COUNTIFS($E$5:$E$65,"1",$Q$5:$Q$65,"Elevada")</f>
        <v>3</v>
      </c>
      <c r="AN32" s="39" t="s">
        <v>8</v>
      </c>
      <c r="AO32" s="6">
        <f>COUNTIFS($H$5:$H$65,"1",$Q$5:$Q$65,"Elevada")</f>
        <v>2</v>
      </c>
      <c r="AP32" s="6"/>
      <c r="AQ32" s="51"/>
      <c r="AR32" s="126"/>
      <c r="AS32" s="6" t="s">
        <v>5</v>
      </c>
      <c r="AT32" s="6">
        <f>COUNTIFS($E$5:$E$65,"1",$Q$5:$Q$65,"Alguna")</f>
        <v>0</v>
      </c>
      <c r="AU32" s="39" t="s">
        <v>8</v>
      </c>
      <c r="AV32" s="6">
        <f>COUNTIFS($H$5:$H$65,"1",$Q$5:$Q$65,"Alguna")</f>
        <v>0</v>
      </c>
      <c r="AW32" s="6"/>
      <c r="AX32" s="51"/>
    </row>
    <row r="33" spans="1:50" ht="15.75" thickBot="1" x14ac:dyDescent="0.3">
      <c r="A33" s="3">
        <v>29</v>
      </c>
      <c r="B33" s="5">
        <v>42928</v>
      </c>
      <c r="C33" s="6" t="s">
        <v>23</v>
      </c>
      <c r="D33" s="6"/>
      <c r="E33" s="6"/>
      <c r="F33" s="6"/>
      <c r="G33" s="6">
        <v>1</v>
      </c>
      <c r="H33" s="6"/>
      <c r="I33" s="6"/>
      <c r="J33" s="6" t="s">
        <v>54</v>
      </c>
      <c r="K33" s="6" t="s">
        <v>53</v>
      </c>
      <c r="L33" s="6" t="s">
        <v>20</v>
      </c>
      <c r="M33" s="6" t="s">
        <v>20</v>
      </c>
      <c r="N33" s="6" t="s">
        <v>20</v>
      </c>
      <c r="O33" s="6" t="s">
        <v>20</v>
      </c>
      <c r="P33" s="6" t="s">
        <v>20</v>
      </c>
      <c r="Q33" s="6" t="s">
        <v>27</v>
      </c>
      <c r="R33" s="6" t="s">
        <v>20</v>
      </c>
      <c r="S33" s="6" t="s">
        <v>20</v>
      </c>
      <c r="U33" s="109"/>
      <c r="V33" s="9" t="s">
        <v>26</v>
      </c>
      <c r="W33" s="15">
        <f>+COUNTIF(Q5:Q39,"Poca")</f>
        <v>4</v>
      </c>
      <c r="X33" s="127"/>
      <c r="Y33" s="26" t="s">
        <v>29</v>
      </c>
      <c r="Z33" s="52">
        <f>COUNTIFS($C$5:$C$65,"Blanco",Q5:Q65,"Elevada")</f>
        <v>2</v>
      </c>
      <c r="AA33" s="127"/>
      <c r="AB33" s="26" t="s">
        <v>29</v>
      </c>
      <c r="AC33" s="52">
        <f>COUNTIFS($C$5:$C$65,"Blanco",$Q$5:$Q$65,"Alguna")</f>
        <v>0</v>
      </c>
      <c r="AD33" s="127"/>
      <c r="AE33" s="26" t="s">
        <v>29</v>
      </c>
      <c r="AF33" s="52">
        <f>COUNTIFS($C$5:$C$65,"Blanco",$Q$5:$Q$65,"Poca")</f>
        <v>0</v>
      </c>
      <c r="AG33" s="127"/>
      <c r="AH33" s="26" t="s">
        <v>29</v>
      </c>
      <c r="AI33" s="58">
        <f>COUNTIFS($C$5:$C$65,"Blanco",$Q$5:$Q$65,"Ninguna")</f>
        <v>1</v>
      </c>
      <c r="AJ33" s="58"/>
      <c r="AK33" s="127"/>
      <c r="AL33" s="59" t="s">
        <v>6</v>
      </c>
      <c r="AM33" s="26">
        <f>COUNTIFS($F$5:$F$65,"1",$Q$5:$Q$65,"Elevada")</f>
        <v>1</v>
      </c>
      <c r="AN33" s="26" t="s">
        <v>9</v>
      </c>
      <c r="AO33" s="26">
        <f>COUNTIFS($I$5:$I$65,"1",$Q$5:$Q$65,"Elevada")</f>
        <v>5</v>
      </c>
      <c r="AP33" s="26"/>
      <c r="AQ33" s="52"/>
      <c r="AR33" s="127"/>
      <c r="AS33" s="26" t="s">
        <v>6</v>
      </c>
      <c r="AT33" s="26">
        <f>COUNTIFS($F$5:$F$65,"1",$Q$5:$Q$65,"Alguna")</f>
        <v>1</v>
      </c>
      <c r="AU33" s="26" t="s">
        <v>9</v>
      </c>
      <c r="AV33" s="26">
        <f>COUNTIFS($I$5:$I$65,"1",$Q$5:$Q$65,"Alguna")</f>
        <v>0</v>
      </c>
      <c r="AW33" s="26"/>
      <c r="AX33" s="52"/>
    </row>
    <row r="34" spans="1:50" ht="15.75" thickBot="1" x14ac:dyDescent="0.3">
      <c r="A34" s="3">
        <v>30</v>
      </c>
      <c r="B34" s="5">
        <v>42928</v>
      </c>
      <c r="C34" s="6" t="s">
        <v>30</v>
      </c>
      <c r="D34" s="6"/>
      <c r="E34" s="6"/>
      <c r="F34" s="6"/>
      <c r="G34" s="6"/>
      <c r="H34" s="6"/>
      <c r="I34" s="6">
        <v>1</v>
      </c>
      <c r="J34" s="6" t="s">
        <v>54</v>
      </c>
      <c r="K34" s="6" t="s">
        <v>53</v>
      </c>
      <c r="L34" s="6" t="s">
        <v>20</v>
      </c>
      <c r="M34" s="6" t="s">
        <v>20</v>
      </c>
      <c r="N34" s="6" t="s">
        <v>20</v>
      </c>
      <c r="O34" s="6" t="s">
        <v>20</v>
      </c>
      <c r="P34" s="6" t="s">
        <v>20</v>
      </c>
      <c r="Q34" s="6" t="s">
        <v>26</v>
      </c>
      <c r="R34" s="6" t="s">
        <v>25</v>
      </c>
      <c r="S34" s="6" t="s">
        <v>20</v>
      </c>
      <c r="U34" s="110"/>
      <c r="V34" s="13" t="s">
        <v>34</v>
      </c>
      <c r="W34" s="16">
        <f>+COUNTIF(Q5:Q39,"Ninguna")</f>
        <v>6</v>
      </c>
      <c r="X34" s="47"/>
      <c r="Y34" s="60"/>
      <c r="Z34" s="62"/>
      <c r="AA34" s="63"/>
      <c r="AB34" s="60"/>
      <c r="AC34" s="64"/>
      <c r="AD34" s="60"/>
      <c r="AE34" s="60"/>
      <c r="AG34" s="60"/>
      <c r="AH34" s="60"/>
      <c r="AI34" s="60"/>
      <c r="AJ34" s="60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</row>
    <row r="35" spans="1:50" x14ac:dyDescent="0.25">
      <c r="A35" s="3">
        <v>31</v>
      </c>
      <c r="B35" s="5">
        <v>42928</v>
      </c>
      <c r="C35" s="6" t="s">
        <v>23</v>
      </c>
      <c r="D35" s="6"/>
      <c r="E35" s="6"/>
      <c r="F35" s="6"/>
      <c r="G35" s="6">
        <v>1</v>
      </c>
      <c r="H35" s="6"/>
      <c r="I35" s="6"/>
      <c r="J35" s="6" t="s">
        <v>54</v>
      </c>
      <c r="K35" s="6" t="s">
        <v>53</v>
      </c>
      <c r="L35" s="6" t="s">
        <v>20</v>
      </c>
      <c r="M35" s="6" t="s">
        <v>20</v>
      </c>
      <c r="N35" s="6" t="s">
        <v>20</v>
      </c>
      <c r="O35" s="6" t="s">
        <v>20</v>
      </c>
      <c r="P35" s="6" t="s">
        <v>25</v>
      </c>
      <c r="Q35" s="6" t="s">
        <v>28</v>
      </c>
      <c r="R35" s="6" t="s">
        <v>20</v>
      </c>
      <c r="S35" s="6" t="s">
        <v>20</v>
      </c>
      <c r="U35" s="137" t="s">
        <v>42</v>
      </c>
      <c r="V35" s="12" t="s">
        <v>20</v>
      </c>
      <c r="W35" s="14">
        <f>+COUNTIF(R5:R39,"Si")</f>
        <v>27</v>
      </c>
      <c r="X35" s="125" t="s">
        <v>118</v>
      </c>
      <c r="Y35" s="48" t="s">
        <v>114</v>
      </c>
      <c r="Z35" s="49">
        <f>COUNTIFS($C$5:$C$65,"M",$R$5:$R$65,"Si")</f>
        <v>11</v>
      </c>
      <c r="AA35" s="125" t="s">
        <v>117</v>
      </c>
      <c r="AB35" s="48" t="s">
        <v>114</v>
      </c>
      <c r="AC35" s="55">
        <f>COUNTIFS($C$5:$C$65,"M",$R$5:$R$65,"No")</f>
        <v>2</v>
      </c>
      <c r="AD35" s="125" t="s">
        <v>118</v>
      </c>
      <c r="AE35" s="48" t="s">
        <v>4</v>
      </c>
      <c r="AF35" s="48">
        <f>COUNTIFS($D$5:$D$65,"1",$R$5:$R$65,"Si")</f>
        <v>4</v>
      </c>
      <c r="AG35" s="48" t="s">
        <v>7</v>
      </c>
      <c r="AH35" s="48">
        <f>COUNTIFS($G$5:$G$65,"1",$R$5:$R$65,"Si")</f>
        <v>4</v>
      </c>
      <c r="AI35" s="48" t="s">
        <v>29</v>
      </c>
      <c r="AJ35" s="49">
        <f>COUNTIFS($I$5:$I$65,"Blanco",$R$5:$R$65,"Si")</f>
        <v>1</v>
      </c>
      <c r="AK35" s="50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x14ac:dyDescent="0.25">
      <c r="A36" s="3">
        <v>32</v>
      </c>
      <c r="B36" s="5">
        <v>42928</v>
      </c>
      <c r="C36" s="6" t="s">
        <v>30</v>
      </c>
      <c r="D36" s="6"/>
      <c r="E36" s="6"/>
      <c r="F36" s="6"/>
      <c r="G36" s="6"/>
      <c r="H36" s="6"/>
      <c r="I36" s="6">
        <v>1</v>
      </c>
      <c r="J36" s="6" t="s">
        <v>54</v>
      </c>
      <c r="K36" s="6" t="s">
        <v>53</v>
      </c>
      <c r="L36" s="6" t="s">
        <v>20</v>
      </c>
      <c r="M36" s="6" t="s">
        <v>20</v>
      </c>
      <c r="N36" s="6" t="s">
        <v>20</v>
      </c>
      <c r="O36" s="6" t="s">
        <v>25</v>
      </c>
      <c r="P36" s="6" t="s">
        <v>25</v>
      </c>
      <c r="Q36" s="6" t="s">
        <v>27</v>
      </c>
      <c r="R36" s="6" t="s">
        <v>20</v>
      </c>
      <c r="S36" s="6" t="s">
        <v>20</v>
      </c>
      <c r="U36" s="109"/>
      <c r="V36" s="9" t="s">
        <v>25</v>
      </c>
      <c r="W36" s="15">
        <f>+COUNTIF(R5:R39,"No")</f>
        <v>8</v>
      </c>
      <c r="X36" s="126"/>
      <c r="Y36" s="6" t="s">
        <v>115</v>
      </c>
      <c r="Z36" s="51">
        <f>COUNTIFS($C$5:$C$65,"F",$R$5:$R$65,"Si")</f>
        <v>14</v>
      </c>
      <c r="AA36" s="126"/>
      <c r="AB36" s="6" t="s">
        <v>115</v>
      </c>
      <c r="AC36" s="57">
        <f>COUNTIFS($C$5:$C$65,"F",$R$5:$R$65,"No")</f>
        <v>5</v>
      </c>
      <c r="AD36" s="126"/>
      <c r="AE36" s="6" t="s">
        <v>5</v>
      </c>
      <c r="AF36" s="6">
        <f>COUNTIFS($E$5:$E$65,"1",$R$5:$R$65,"Si")</f>
        <v>7</v>
      </c>
      <c r="AG36" s="39" t="s">
        <v>8</v>
      </c>
      <c r="AH36" s="6">
        <f>COUNTIFS($H$5:$H$65,"1",$R$5:$R$65,"Si")</f>
        <v>3</v>
      </c>
      <c r="AI36" s="6"/>
      <c r="AJ36" s="51"/>
      <c r="AK36" s="50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15.75" thickBot="1" x14ac:dyDescent="0.3">
      <c r="A37" s="3">
        <v>33</v>
      </c>
      <c r="B37" s="5">
        <v>42928</v>
      </c>
      <c r="C37" s="6" t="s">
        <v>30</v>
      </c>
      <c r="D37" s="6"/>
      <c r="E37" s="6">
        <v>1</v>
      </c>
      <c r="F37" s="6"/>
      <c r="G37" s="6"/>
      <c r="H37" s="6"/>
      <c r="I37" s="6"/>
      <c r="J37" s="6" t="s">
        <v>54</v>
      </c>
      <c r="K37" s="6" t="s">
        <v>53</v>
      </c>
      <c r="L37" s="6" t="s">
        <v>20</v>
      </c>
      <c r="M37" s="6" t="s">
        <v>20</v>
      </c>
      <c r="N37" s="6" t="s">
        <v>20</v>
      </c>
      <c r="O37" s="6" t="s">
        <v>25</v>
      </c>
      <c r="P37" s="6" t="s">
        <v>20</v>
      </c>
      <c r="Q37" s="6" t="s">
        <v>27</v>
      </c>
      <c r="R37" s="6" t="s">
        <v>20</v>
      </c>
      <c r="S37" s="6" t="s">
        <v>20</v>
      </c>
      <c r="U37" s="110"/>
      <c r="V37" s="13" t="s">
        <v>29</v>
      </c>
      <c r="W37" s="16">
        <f>+COUNTIF(R5:R39,"Blanco")</f>
        <v>0</v>
      </c>
      <c r="X37" s="127"/>
      <c r="Y37" s="26" t="s">
        <v>29</v>
      </c>
      <c r="Z37" s="52">
        <f>COUNTIFS($C$5:$C$65,"Blanco",$R$5:$R$65,"Si")</f>
        <v>2</v>
      </c>
      <c r="AA37" s="127"/>
      <c r="AB37" s="26" t="s">
        <v>29</v>
      </c>
      <c r="AC37" s="58">
        <f>COUNTIFS($C$5:$C$65,"Blanco",$R$5:$R$65,"No")</f>
        <v>1</v>
      </c>
      <c r="AD37" s="127"/>
      <c r="AE37" s="26" t="s">
        <v>6</v>
      </c>
      <c r="AF37" s="26">
        <f>COUNTIFS($F$5:$F$65,"1",$R$5:$R$65,"Si")</f>
        <v>1</v>
      </c>
      <c r="AG37" s="26" t="s">
        <v>9</v>
      </c>
      <c r="AH37" s="26">
        <f>COUNTIFS($I$5:$I$65,"1",$R$5:$R$65,"Si")</f>
        <v>7</v>
      </c>
      <c r="AI37" s="26"/>
      <c r="AJ37" s="52"/>
      <c r="AK37" s="50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x14ac:dyDescent="0.25">
      <c r="A38" s="3">
        <v>34</v>
      </c>
      <c r="B38" s="5">
        <v>42928</v>
      </c>
      <c r="C38" s="6" t="s">
        <v>23</v>
      </c>
      <c r="D38" s="6"/>
      <c r="E38" s="6"/>
      <c r="F38" s="6"/>
      <c r="G38" s="6"/>
      <c r="H38" s="6"/>
      <c r="I38" s="6">
        <v>1</v>
      </c>
      <c r="J38" s="6" t="s">
        <v>54</v>
      </c>
      <c r="K38" s="6" t="s">
        <v>53</v>
      </c>
      <c r="L38" s="6" t="s">
        <v>20</v>
      </c>
      <c r="M38" s="6" t="s">
        <v>20</v>
      </c>
      <c r="N38" s="6" t="s">
        <v>20</v>
      </c>
      <c r="O38" s="6" t="s">
        <v>20</v>
      </c>
      <c r="P38" s="6" t="s">
        <v>25</v>
      </c>
      <c r="Q38" s="6" t="s">
        <v>27</v>
      </c>
      <c r="R38" s="6" t="s">
        <v>20</v>
      </c>
      <c r="S38" s="6" t="s">
        <v>20</v>
      </c>
      <c r="U38" s="137" t="s">
        <v>43</v>
      </c>
      <c r="V38" s="12" t="s">
        <v>20</v>
      </c>
      <c r="W38" s="14">
        <f>+COUNTIF(S5:S39,"Si")</f>
        <v>25</v>
      </c>
      <c r="X38" s="125" t="s">
        <v>118</v>
      </c>
      <c r="Y38" s="48" t="s">
        <v>114</v>
      </c>
      <c r="Z38" s="49">
        <f>COUNTIFS($C$5:$C$65,"M",$S$5:$S$65,"Si")</f>
        <v>10</v>
      </c>
      <c r="AA38" s="125" t="s">
        <v>117</v>
      </c>
      <c r="AB38" s="48" t="s">
        <v>114</v>
      </c>
      <c r="AC38" s="55">
        <f>COUNTIFS($C$5:$C$65,"M",$S$5:$S$65,"No")</f>
        <v>3</v>
      </c>
      <c r="AD38" s="125" t="s">
        <v>118</v>
      </c>
      <c r="AE38" s="48" t="s">
        <v>4</v>
      </c>
      <c r="AF38" s="48">
        <f>COUNTIFS($D$5:$D$65,"1",$S$5:$S$65,"Si")</f>
        <v>6</v>
      </c>
      <c r="AG38" s="48" t="s">
        <v>7</v>
      </c>
      <c r="AH38" s="48">
        <f>COUNTIFS($G$5:$G$65,"1",$S$5:$S$65,"Si")</f>
        <v>3</v>
      </c>
      <c r="AI38" s="48" t="s">
        <v>29</v>
      </c>
      <c r="AJ38" s="49">
        <f>COUNTIFS($I$5:$I$65,"Blanco",$S$5:$S$65,"Si")</f>
        <v>2</v>
      </c>
      <c r="AK38" s="50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x14ac:dyDescent="0.25">
      <c r="A39" s="3">
        <v>35</v>
      </c>
      <c r="B39" s="5">
        <v>42928</v>
      </c>
      <c r="C39" s="6" t="s">
        <v>23</v>
      </c>
      <c r="D39" s="6">
        <v>1</v>
      </c>
      <c r="E39" s="6"/>
      <c r="F39" s="6"/>
      <c r="G39" s="6"/>
      <c r="H39" s="6"/>
      <c r="I39" s="6"/>
      <c r="J39" s="6" t="s">
        <v>54</v>
      </c>
      <c r="K39" s="6" t="s">
        <v>53</v>
      </c>
      <c r="L39" s="6" t="s">
        <v>20</v>
      </c>
      <c r="M39" s="6" t="s">
        <v>20</v>
      </c>
      <c r="N39" s="6" t="s">
        <v>25</v>
      </c>
      <c r="O39" s="6" t="s">
        <v>25</v>
      </c>
      <c r="P39" s="6" t="s">
        <v>25</v>
      </c>
      <c r="Q39" s="6" t="s">
        <v>27</v>
      </c>
      <c r="R39" s="6" t="s">
        <v>20</v>
      </c>
      <c r="S39" s="6" t="s">
        <v>25</v>
      </c>
      <c r="U39" s="109"/>
      <c r="V39" s="9" t="s">
        <v>25</v>
      </c>
      <c r="W39" s="15">
        <f>+COUNTIF(S5:S39,"No")</f>
        <v>10</v>
      </c>
      <c r="X39" s="126"/>
      <c r="Y39" s="6" t="s">
        <v>115</v>
      </c>
      <c r="Z39" s="51">
        <f>COUNTIFS($C$5:$C$65,"F",$S$5:$S$65,"Si")</f>
        <v>13</v>
      </c>
      <c r="AA39" s="126"/>
      <c r="AB39" s="6" t="s">
        <v>115</v>
      </c>
      <c r="AC39" s="57">
        <f>COUNTIFS($C$5:$C$65,"F",$S$5:$S$65,"No")</f>
        <v>6</v>
      </c>
      <c r="AD39" s="126"/>
      <c r="AE39" s="6" t="s">
        <v>5</v>
      </c>
      <c r="AF39" s="6">
        <f>COUNTIFS($E$5:$E$65,"1",$S$6:$S$66,"Si")</f>
        <v>5</v>
      </c>
      <c r="AG39" s="39" t="s">
        <v>8</v>
      </c>
      <c r="AH39" s="6">
        <f>COUNTIFS($H$5:$H$65,"1",$S$5:$S$65,"Si")</f>
        <v>3</v>
      </c>
      <c r="AI39" s="6"/>
      <c r="AJ39" s="51"/>
      <c r="AK39" s="50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5.75" thickBot="1" x14ac:dyDescent="0.3">
      <c r="U40" s="110"/>
      <c r="V40" s="13" t="s">
        <v>29</v>
      </c>
      <c r="W40" s="16">
        <f>+COUNTIF(S5:S39,"Blanco")</f>
        <v>0</v>
      </c>
      <c r="X40" s="127"/>
      <c r="Y40" s="26" t="s">
        <v>29</v>
      </c>
      <c r="Z40" s="52">
        <f>COUNTIFS($C$5:$C$65,"Blanco",$S$5:$S$65,"Si")</f>
        <v>2</v>
      </c>
      <c r="AA40" s="127"/>
      <c r="AB40" s="26" t="s">
        <v>29</v>
      </c>
      <c r="AC40" s="58">
        <f>COUNTIFS($C$5:$C$65,"Blanco",$S$5:$S$65,"No")</f>
        <v>1</v>
      </c>
      <c r="AD40" s="127"/>
      <c r="AE40" s="26" t="s">
        <v>6</v>
      </c>
      <c r="AF40" s="26">
        <f>COUNTIFS($F$5:$F$65,"1",$S$5:$S$65,"Si")</f>
        <v>2</v>
      </c>
      <c r="AG40" s="26" t="s">
        <v>9</v>
      </c>
      <c r="AH40" s="26">
        <f>COUNTIFS($I$5:$I$65,"1",$S$5:$S$65,"Si")</f>
        <v>7</v>
      </c>
      <c r="AI40" s="26"/>
      <c r="AJ40" s="52"/>
      <c r="AK40" s="50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</sheetData>
  <mergeCells count="58">
    <mergeCell ref="X38:X40"/>
    <mergeCell ref="AA38:AA40"/>
    <mergeCell ref="AD38:AD40"/>
    <mergeCell ref="AG31:AG33"/>
    <mergeCell ref="AK31:AK33"/>
    <mergeCell ref="AR31:AR33"/>
    <mergeCell ref="X35:X37"/>
    <mergeCell ref="AA35:AA37"/>
    <mergeCell ref="AD35:AD37"/>
    <mergeCell ref="X28:X30"/>
    <mergeCell ref="AA28:AA30"/>
    <mergeCell ref="AD28:AD30"/>
    <mergeCell ref="X31:X33"/>
    <mergeCell ref="AA31:AA33"/>
    <mergeCell ref="AD31:AD33"/>
    <mergeCell ref="X22:X24"/>
    <mergeCell ref="AA22:AA24"/>
    <mergeCell ref="AD22:AD24"/>
    <mergeCell ref="X25:X27"/>
    <mergeCell ref="AA25:AA27"/>
    <mergeCell ref="AD25:AD27"/>
    <mergeCell ref="X16:X18"/>
    <mergeCell ref="AA16:AA18"/>
    <mergeCell ref="AD16:AD18"/>
    <mergeCell ref="X19:X21"/>
    <mergeCell ref="AA19:AA21"/>
    <mergeCell ref="AD19:AD21"/>
    <mergeCell ref="U31:U34"/>
    <mergeCell ref="U35:U37"/>
    <mergeCell ref="U38:U40"/>
    <mergeCell ref="U13:U15"/>
    <mergeCell ref="U16:U18"/>
    <mergeCell ref="U19:U21"/>
    <mergeCell ref="U22:U24"/>
    <mergeCell ref="U25:U27"/>
    <mergeCell ref="U28:U30"/>
    <mergeCell ref="U1:W1"/>
    <mergeCell ref="U2:V2"/>
    <mergeCell ref="U3:V3"/>
    <mergeCell ref="U4:V4"/>
    <mergeCell ref="U5:V5"/>
    <mergeCell ref="U6:U12"/>
    <mergeCell ref="N3:N4"/>
    <mergeCell ref="O3:O4"/>
    <mergeCell ref="P3:P4"/>
    <mergeCell ref="Q3:Q4"/>
    <mergeCell ref="R3:R4"/>
    <mergeCell ref="S3:S4"/>
    <mergeCell ref="A1:S1"/>
    <mergeCell ref="A2:S2"/>
    <mergeCell ref="A3:A4"/>
    <mergeCell ref="B3:B4"/>
    <mergeCell ref="C3:C4"/>
    <mergeCell ref="D3:I3"/>
    <mergeCell ref="J3:J4"/>
    <mergeCell ref="K3:K4"/>
    <mergeCell ref="L3:L4"/>
    <mergeCell ref="M3:M4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65"/>
  <sheetViews>
    <sheetView topLeftCell="V1" zoomScale="50" zoomScaleNormal="50" workbookViewId="0">
      <selection activeCell="AX34" sqref="AT34:AX36"/>
    </sheetView>
  </sheetViews>
  <sheetFormatPr baseColWidth="10" defaultRowHeight="15" x14ac:dyDescent="0.25"/>
  <cols>
    <col min="1" max="1" width="6.28515625" style="1" bestFit="1" customWidth="1"/>
    <col min="2" max="2" width="17.42578125" customWidth="1"/>
    <col min="4" max="4" width="9.7109375" bestFit="1" customWidth="1"/>
    <col min="5" max="5" width="10.140625" bestFit="1" customWidth="1"/>
    <col min="6" max="6" width="9.7109375" bestFit="1" customWidth="1"/>
    <col min="7" max="7" width="10.140625" bestFit="1" customWidth="1"/>
    <col min="8" max="8" width="9.7109375" bestFit="1" customWidth="1"/>
    <col min="9" max="9" width="14.140625" customWidth="1"/>
    <col min="10" max="10" width="20.140625" bestFit="1" customWidth="1"/>
    <col min="11" max="11" width="16" bestFit="1" customWidth="1"/>
    <col min="12" max="19" width="14.28515625" customWidth="1"/>
    <col min="21" max="21" width="48.42578125" style="7" customWidth="1"/>
    <col min="22" max="22" width="23.85546875" bestFit="1" customWidth="1"/>
    <col min="23" max="23" width="11.42578125" style="1"/>
  </cols>
  <sheetData>
    <row r="1" spans="1:23" ht="15.75" thickBot="1" x14ac:dyDescent="0.3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U1" s="144" t="s">
        <v>46</v>
      </c>
      <c r="V1" s="145"/>
      <c r="W1" s="148"/>
    </row>
    <row r="2" spans="1:23" ht="15.75" thickBot="1" x14ac:dyDescent="0.3">
      <c r="A2" s="123" t="s">
        <v>21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U2" s="144" t="s">
        <v>44</v>
      </c>
      <c r="V2" s="145"/>
      <c r="W2" s="17">
        <f>+COUNTIF(C5:C65,"M")</f>
        <v>16</v>
      </c>
    </row>
    <row r="3" spans="1:23" ht="15.75" customHeight="1" thickBot="1" x14ac:dyDescent="0.3">
      <c r="A3" s="149" t="s">
        <v>22</v>
      </c>
      <c r="B3" s="151" t="s">
        <v>2</v>
      </c>
      <c r="C3" s="149" t="s">
        <v>1</v>
      </c>
      <c r="D3" s="123" t="s">
        <v>3</v>
      </c>
      <c r="E3" s="123"/>
      <c r="F3" s="123"/>
      <c r="G3" s="123"/>
      <c r="H3" s="123"/>
      <c r="I3" s="123"/>
      <c r="J3" s="149" t="s">
        <v>11</v>
      </c>
      <c r="K3" s="149" t="s">
        <v>10</v>
      </c>
      <c r="L3" s="142" t="s">
        <v>12</v>
      </c>
      <c r="M3" s="142" t="s">
        <v>13</v>
      </c>
      <c r="N3" s="142" t="s">
        <v>14</v>
      </c>
      <c r="O3" s="142" t="s">
        <v>15</v>
      </c>
      <c r="P3" s="142" t="s">
        <v>16</v>
      </c>
      <c r="Q3" s="142" t="s">
        <v>17</v>
      </c>
      <c r="R3" s="142" t="s">
        <v>18</v>
      </c>
      <c r="S3" s="142" t="s">
        <v>19</v>
      </c>
      <c r="U3" s="144" t="s">
        <v>45</v>
      </c>
      <c r="V3" s="145"/>
      <c r="W3" s="17">
        <f>+COUNTIF(C5:C65,"F")</f>
        <v>19</v>
      </c>
    </row>
    <row r="4" spans="1:23" ht="15.75" customHeight="1" thickBot="1" x14ac:dyDescent="0.3">
      <c r="A4" s="150"/>
      <c r="B4" s="152"/>
      <c r="C4" s="150"/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150"/>
      <c r="K4" s="150"/>
      <c r="L4" s="143"/>
      <c r="M4" s="143"/>
      <c r="N4" s="143"/>
      <c r="O4" s="143"/>
      <c r="P4" s="143"/>
      <c r="Q4" s="143"/>
      <c r="R4" s="143"/>
      <c r="S4" s="143"/>
      <c r="U4" s="146" t="s">
        <v>29</v>
      </c>
      <c r="V4" s="147"/>
      <c r="W4" s="17">
        <f>+COUNTIF(C5:C65,"Blanco")</f>
        <v>0</v>
      </c>
    </row>
    <row r="5" spans="1:23" ht="15.75" thickBot="1" x14ac:dyDescent="0.3">
      <c r="A5" s="3">
        <v>1</v>
      </c>
      <c r="B5" s="29">
        <v>42928</v>
      </c>
      <c r="C5" s="28" t="s">
        <v>23</v>
      </c>
      <c r="D5" s="28"/>
      <c r="E5" s="28">
        <v>1</v>
      </c>
      <c r="F5" s="28"/>
      <c r="G5" s="28"/>
      <c r="H5" s="28"/>
      <c r="I5" s="28"/>
      <c r="J5" s="33" t="s">
        <v>95</v>
      </c>
      <c r="K5" s="33" t="s">
        <v>95</v>
      </c>
      <c r="L5" s="28" t="s">
        <v>20</v>
      </c>
      <c r="M5" s="28" t="s">
        <v>25</v>
      </c>
      <c r="N5" s="28" t="s">
        <v>25</v>
      </c>
      <c r="O5" s="28" t="s">
        <v>25</v>
      </c>
      <c r="P5" s="28" t="s">
        <v>25</v>
      </c>
      <c r="Q5" s="28" t="s">
        <v>26</v>
      </c>
      <c r="R5" s="28" t="s">
        <v>25</v>
      </c>
      <c r="S5" s="28" t="s">
        <v>25</v>
      </c>
      <c r="U5" s="146" t="s">
        <v>47</v>
      </c>
      <c r="V5" s="147"/>
      <c r="W5" s="18">
        <f>SUM(W2:W4)</f>
        <v>35</v>
      </c>
    </row>
    <row r="6" spans="1:23" x14ac:dyDescent="0.25">
      <c r="A6" s="3">
        <v>2</v>
      </c>
      <c r="B6" s="29">
        <v>42928</v>
      </c>
      <c r="C6" s="28" t="s">
        <v>23</v>
      </c>
      <c r="D6" s="28">
        <v>1</v>
      </c>
      <c r="E6" s="28"/>
      <c r="F6" s="28"/>
      <c r="G6" s="28"/>
      <c r="H6" s="28"/>
      <c r="I6" s="28"/>
      <c r="J6" s="33" t="s">
        <v>95</v>
      </c>
      <c r="K6" s="33" t="s">
        <v>95</v>
      </c>
      <c r="L6" s="28" t="s">
        <v>20</v>
      </c>
      <c r="M6" s="28" t="s">
        <v>20</v>
      </c>
      <c r="N6" s="28" t="s">
        <v>20</v>
      </c>
      <c r="O6" s="28" t="s">
        <v>20</v>
      </c>
      <c r="P6" s="28" t="s">
        <v>20</v>
      </c>
      <c r="Q6" s="28" t="s">
        <v>28</v>
      </c>
      <c r="R6" s="28" t="s">
        <v>25</v>
      </c>
      <c r="S6" s="28" t="s">
        <v>25</v>
      </c>
      <c r="U6" s="140" t="s">
        <v>3</v>
      </c>
      <c r="V6" s="11" t="s">
        <v>4</v>
      </c>
      <c r="W6" s="14">
        <f>+COUNTIF(D5:D65,"1")</f>
        <v>8</v>
      </c>
    </row>
    <row r="7" spans="1:23" x14ac:dyDescent="0.25">
      <c r="A7" s="3">
        <v>3</v>
      </c>
      <c r="B7" s="29">
        <v>42928</v>
      </c>
      <c r="C7" s="28" t="s">
        <v>23</v>
      </c>
      <c r="D7" s="28"/>
      <c r="E7" s="28"/>
      <c r="F7" s="28"/>
      <c r="G7" s="28">
        <v>1</v>
      </c>
      <c r="H7" s="28"/>
      <c r="I7" s="28"/>
      <c r="J7" s="33" t="s">
        <v>95</v>
      </c>
      <c r="K7" s="33" t="s">
        <v>95</v>
      </c>
      <c r="L7" s="28" t="s">
        <v>25</v>
      </c>
      <c r="M7" s="28" t="s">
        <v>25</v>
      </c>
      <c r="N7" s="28" t="s">
        <v>25</v>
      </c>
      <c r="O7" s="28" t="s">
        <v>25</v>
      </c>
      <c r="P7" s="28" t="s">
        <v>25</v>
      </c>
      <c r="Q7" s="28" t="s">
        <v>34</v>
      </c>
      <c r="R7" s="28" t="s">
        <v>25</v>
      </c>
      <c r="S7" s="28" t="s">
        <v>25</v>
      </c>
      <c r="U7" s="141"/>
      <c r="V7" s="8" t="s">
        <v>5</v>
      </c>
      <c r="W7" s="15">
        <f>+COUNTIF(E5:E65,"1")</f>
        <v>6</v>
      </c>
    </row>
    <row r="8" spans="1:23" x14ac:dyDescent="0.25">
      <c r="A8" s="3">
        <v>4</v>
      </c>
      <c r="B8" s="29">
        <v>42928</v>
      </c>
      <c r="C8" s="28" t="s">
        <v>23</v>
      </c>
      <c r="D8" s="28"/>
      <c r="E8" s="28"/>
      <c r="F8" s="28"/>
      <c r="G8" s="28"/>
      <c r="H8" s="28"/>
      <c r="I8" s="28">
        <v>1</v>
      </c>
      <c r="J8" s="33" t="s">
        <v>95</v>
      </c>
      <c r="K8" s="33" t="s">
        <v>95</v>
      </c>
      <c r="L8" s="28" t="s">
        <v>25</v>
      </c>
      <c r="M8" s="28" t="s">
        <v>25</v>
      </c>
      <c r="N8" s="28" t="s">
        <v>25</v>
      </c>
      <c r="O8" s="28" t="s">
        <v>25</v>
      </c>
      <c r="P8" s="28" t="s">
        <v>25</v>
      </c>
      <c r="Q8" s="28" t="s">
        <v>28</v>
      </c>
      <c r="R8" s="28" t="s">
        <v>25</v>
      </c>
      <c r="S8" s="28" t="s">
        <v>25</v>
      </c>
      <c r="T8" s="30"/>
      <c r="U8" s="141"/>
      <c r="V8" s="8" t="s">
        <v>6</v>
      </c>
      <c r="W8" s="15">
        <f>+COUNTIF(F5:F41,"1")</f>
        <v>6</v>
      </c>
    </row>
    <row r="9" spans="1:23" x14ac:dyDescent="0.25">
      <c r="A9" s="3">
        <v>5</v>
      </c>
      <c r="B9" s="29">
        <v>42928</v>
      </c>
      <c r="C9" s="28" t="s">
        <v>30</v>
      </c>
      <c r="D9" s="28"/>
      <c r="E9" s="28"/>
      <c r="F9" s="28"/>
      <c r="G9" s="28"/>
      <c r="H9" s="28">
        <v>1</v>
      </c>
      <c r="I9" s="28"/>
      <c r="J9" s="33" t="s">
        <v>95</v>
      </c>
      <c r="K9" s="33" t="s">
        <v>95</v>
      </c>
      <c r="L9" s="28" t="s">
        <v>20</v>
      </c>
      <c r="M9" s="28" t="s">
        <v>20</v>
      </c>
      <c r="N9" s="28" t="s">
        <v>25</v>
      </c>
      <c r="O9" s="28" t="s">
        <v>25</v>
      </c>
      <c r="P9" s="28" t="s">
        <v>25</v>
      </c>
      <c r="Q9" s="28" t="s">
        <v>27</v>
      </c>
      <c r="R9" s="28" t="s">
        <v>25</v>
      </c>
      <c r="S9" s="28" t="s">
        <v>20</v>
      </c>
      <c r="U9" s="141"/>
      <c r="V9" s="8" t="s">
        <v>7</v>
      </c>
      <c r="W9" s="15">
        <f>+COUNTIF(G5:G65,"1")</f>
        <v>6</v>
      </c>
    </row>
    <row r="10" spans="1:23" x14ac:dyDescent="0.25">
      <c r="A10" s="3">
        <v>6</v>
      </c>
      <c r="B10" s="29">
        <v>42928</v>
      </c>
      <c r="C10" s="28" t="s">
        <v>23</v>
      </c>
      <c r="D10" s="28">
        <v>1</v>
      </c>
      <c r="E10" s="28"/>
      <c r="F10" s="28"/>
      <c r="G10" s="28"/>
      <c r="H10" s="28"/>
      <c r="I10" s="28"/>
      <c r="J10" s="33" t="s">
        <v>95</v>
      </c>
      <c r="K10" s="33" t="s">
        <v>95</v>
      </c>
      <c r="L10" s="28" t="s">
        <v>25</v>
      </c>
      <c r="M10" s="28" t="s">
        <v>25</v>
      </c>
      <c r="N10" s="28" t="s">
        <v>25</v>
      </c>
      <c r="O10" s="28" t="s">
        <v>25</v>
      </c>
      <c r="P10" s="28" t="s">
        <v>25</v>
      </c>
      <c r="Q10" s="28" t="s">
        <v>28</v>
      </c>
      <c r="R10" s="28" t="s">
        <v>25</v>
      </c>
      <c r="S10" s="28" t="s">
        <v>25</v>
      </c>
      <c r="U10" s="141"/>
      <c r="V10" s="8" t="s">
        <v>8</v>
      </c>
      <c r="W10" s="15">
        <f>+COUNTIF(H5:H65,"1")</f>
        <v>5</v>
      </c>
    </row>
    <row r="11" spans="1:23" x14ac:dyDescent="0.25">
      <c r="A11" s="3">
        <v>7</v>
      </c>
      <c r="B11" s="29">
        <v>42928</v>
      </c>
      <c r="C11" s="28" t="s">
        <v>23</v>
      </c>
      <c r="D11" s="28"/>
      <c r="E11" s="28">
        <v>1</v>
      </c>
      <c r="F11" s="28"/>
      <c r="G11" s="28"/>
      <c r="H11" s="28"/>
      <c r="I11" s="28"/>
      <c r="J11" s="33" t="s">
        <v>95</v>
      </c>
      <c r="K11" s="33" t="s">
        <v>95</v>
      </c>
      <c r="L11" s="28" t="s">
        <v>20</v>
      </c>
      <c r="M11" s="28" t="s">
        <v>20</v>
      </c>
      <c r="N11" s="28" t="s">
        <v>20</v>
      </c>
      <c r="O11" s="28" t="s">
        <v>25</v>
      </c>
      <c r="P11" s="28" t="s">
        <v>20</v>
      </c>
      <c r="Q11" s="28" t="s">
        <v>27</v>
      </c>
      <c r="R11" s="28" t="s">
        <v>25</v>
      </c>
      <c r="S11" s="28" t="s">
        <v>20</v>
      </c>
      <c r="U11" s="141"/>
      <c r="V11" s="22" t="s">
        <v>9</v>
      </c>
      <c r="W11" s="23">
        <f>+COUNTIF(I5:I65,"1")</f>
        <v>4</v>
      </c>
    </row>
    <row r="12" spans="1:23" ht="15.75" thickBot="1" x14ac:dyDescent="0.3">
      <c r="A12" s="3">
        <v>8</v>
      </c>
      <c r="B12" s="29">
        <v>42928</v>
      </c>
      <c r="C12" s="28" t="s">
        <v>30</v>
      </c>
      <c r="D12" s="28">
        <v>1</v>
      </c>
      <c r="E12" s="28"/>
      <c r="F12" s="28"/>
      <c r="G12" s="28"/>
      <c r="H12" s="28"/>
      <c r="I12" s="28"/>
      <c r="J12" s="33" t="s">
        <v>95</v>
      </c>
      <c r="K12" s="33" t="s">
        <v>95</v>
      </c>
      <c r="L12" s="28" t="s">
        <v>20</v>
      </c>
      <c r="M12" s="28" t="s">
        <v>25</v>
      </c>
      <c r="N12" s="28" t="s">
        <v>25</v>
      </c>
      <c r="O12" s="28" t="s">
        <v>25</v>
      </c>
      <c r="P12" s="28" t="s">
        <v>25</v>
      </c>
      <c r="Q12" s="28" t="s">
        <v>27</v>
      </c>
      <c r="R12" s="28" t="s">
        <v>25</v>
      </c>
      <c r="S12" s="28" t="s">
        <v>20</v>
      </c>
      <c r="U12" s="141"/>
      <c r="V12" s="34" t="s">
        <v>29</v>
      </c>
      <c r="W12" s="23">
        <f>+COUNTIF(I5:I65,"Blanco")</f>
        <v>0</v>
      </c>
    </row>
    <row r="13" spans="1:23" x14ac:dyDescent="0.25">
      <c r="A13" s="3">
        <v>9</v>
      </c>
      <c r="B13" s="29">
        <v>42928</v>
      </c>
      <c r="C13" s="28" t="s">
        <v>23</v>
      </c>
      <c r="D13" s="28"/>
      <c r="E13" s="28"/>
      <c r="F13" s="28"/>
      <c r="G13" s="28">
        <v>1</v>
      </c>
      <c r="H13" s="28"/>
      <c r="I13" s="28"/>
      <c r="J13" s="33" t="s">
        <v>95</v>
      </c>
      <c r="K13" s="33" t="s">
        <v>95</v>
      </c>
      <c r="L13" s="28" t="s">
        <v>20</v>
      </c>
      <c r="M13" s="28" t="s">
        <v>20</v>
      </c>
      <c r="N13" s="28" t="s">
        <v>20</v>
      </c>
      <c r="O13" s="28" t="s">
        <v>25</v>
      </c>
      <c r="P13" s="28" t="s">
        <v>20</v>
      </c>
      <c r="Q13" s="28" t="s">
        <v>27</v>
      </c>
      <c r="R13" s="28" t="s">
        <v>20</v>
      </c>
      <c r="S13" s="28" t="s">
        <v>20</v>
      </c>
      <c r="U13" s="137" t="s">
        <v>35</v>
      </c>
      <c r="V13" s="19" t="s">
        <v>95</v>
      </c>
      <c r="W13" s="14">
        <f>+COUNTIF(K5:K65,"Ocotepeque")</f>
        <v>15</v>
      </c>
    </row>
    <row r="14" spans="1:23" x14ac:dyDescent="0.25">
      <c r="A14" s="3">
        <v>10</v>
      </c>
      <c r="B14" s="29">
        <v>42928</v>
      </c>
      <c r="C14" s="28" t="s">
        <v>30</v>
      </c>
      <c r="D14" s="28"/>
      <c r="E14" s="28"/>
      <c r="F14" s="28"/>
      <c r="G14" s="28">
        <v>1</v>
      </c>
      <c r="H14" s="28"/>
      <c r="I14" s="28"/>
      <c r="J14" s="33" t="s">
        <v>95</v>
      </c>
      <c r="K14" s="33" t="s">
        <v>95</v>
      </c>
      <c r="L14" s="28" t="s">
        <v>20</v>
      </c>
      <c r="M14" s="28" t="s">
        <v>20</v>
      </c>
      <c r="N14" s="28" t="s">
        <v>25</v>
      </c>
      <c r="O14" s="28" t="s">
        <v>25</v>
      </c>
      <c r="P14" s="28" t="s">
        <v>25</v>
      </c>
      <c r="Q14" s="28" t="s">
        <v>27</v>
      </c>
      <c r="R14" s="28" t="s">
        <v>20</v>
      </c>
      <c r="S14" s="28" t="s">
        <v>20</v>
      </c>
      <c r="U14" s="109"/>
      <c r="V14" s="6" t="s">
        <v>96</v>
      </c>
      <c r="W14" s="15">
        <f>+COUNTIF(K5:K65,"Sinuapa")</f>
        <v>10</v>
      </c>
    </row>
    <row r="15" spans="1:23" x14ac:dyDescent="0.25">
      <c r="A15" s="3">
        <v>11</v>
      </c>
      <c r="B15" s="29">
        <v>42928</v>
      </c>
      <c r="C15" s="28" t="s">
        <v>23</v>
      </c>
      <c r="D15" s="28"/>
      <c r="E15" s="28"/>
      <c r="F15" s="28">
        <v>1</v>
      </c>
      <c r="G15" s="28"/>
      <c r="H15" s="28"/>
      <c r="I15" s="28"/>
      <c r="J15" s="33" t="s">
        <v>95</v>
      </c>
      <c r="K15" s="33" t="s">
        <v>95</v>
      </c>
      <c r="L15" s="28" t="s">
        <v>25</v>
      </c>
      <c r="M15" s="28" t="s">
        <v>25</v>
      </c>
      <c r="N15" s="28" t="s">
        <v>25</v>
      </c>
      <c r="O15" s="28" t="s">
        <v>25</v>
      </c>
      <c r="P15" s="28" t="s">
        <v>25</v>
      </c>
      <c r="Q15" s="28" t="s">
        <v>28</v>
      </c>
      <c r="R15" s="28" t="s">
        <v>25</v>
      </c>
      <c r="S15" s="28" t="s">
        <v>25</v>
      </c>
      <c r="U15" s="109"/>
      <c r="V15" s="35" t="s">
        <v>97</v>
      </c>
      <c r="W15" s="15">
        <f>+COUNTIF(K5:K65,"La Labor")</f>
        <v>10</v>
      </c>
    </row>
    <row r="16" spans="1:23" x14ac:dyDescent="0.25">
      <c r="A16" s="3">
        <v>12</v>
      </c>
      <c r="B16" s="29">
        <v>42928</v>
      </c>
      <c r="C16" s="28" t="s">
        <v>30</v>
      </c>
      <c r="D16" s="28"/>
      <c r="E16" s="28"/>
      <c r="F16" s="28">
        <v>1</v>
      </c>
      <c r="G16" s="28"/>
      <c r="H16" s="28"/>
      <c r="I16" s="28"/>
      <c r="J16" s="33" t="s">
        <v>95</v>
      </c>
      <c r="K16" s="33" t="s">
        <v>95</v>
      </c>
      <c r="L16" s="28" t="s">
        <v>20</v>
      </c>
      <c r="M16" s="28" t="s">
        <v>20</v>
      </c>
      <c r="N16" s="28" t="s">
        <v>20</v>
      </c>
      <c r="O16" s="28" t="s">
        <v>25</v>
      </c>
      <c r="P16" s="28" t="s">
        <v>20</v>
      </c>
      <c r="Q16" s="28" t="s">
        <v>27</v>
      </c>
      <c r="R16" s="28" t="s">
        <v>20</v>
      </c>
      <c r="S16" s="28" t="s">
        <v>25</v>
      </c>
      <c r="U16" s="109"/>
      <c r="V16" s="6"/>
      <c r="W16" s="15"/>
    </row>
    <row r="17" spans="1:50" x14ac:dyDescent="0.25">
      <c r="A17" s="3">
        <v>13</v>
      </c>
      <c r="B17" s="29">
        <v>42928</v>
      </c>
      <c r="C17" s="28" t="s">
        <v>30</v>
      </c>
      <c r="D17" s="28"/>
      <c r="E17" s="28">
        <v>1</v>
      </c>
      <c r="F17" s="28"/>
      <c r="G17" s="28"/>
      <c r="H17" s="28"/>
      <c r="I17" s="28"/>
      <c r="J17" s="33" t="s">
        <v>95</v>
      </c>
      <c r="K17" s="33" t="s">
        <v>95</v>
      </c>
      <c r="L17" s="28" t="s">
        <v>20</v>
      </c>
      <c r="M17" s="28" t="s">
        <v>20</v>
      </c>
      <c r="N17" s="28" t="s">
        <v>25</v>
      </c>
      <c r="O17" s="28" t="s">
        <v>25</v>
      </c>
      <c r="P17" s="28" t="s">
        <v>25</v>
      </c>
      <c r="Q17" s="28" t="s">
        <v>27</v>
      </c>
      <c r="R17" s="28" t="s">
        <v>20</v>
      </c>
      <c r="S17" s="28" t="s">
        <v>25</v>
      </c>
      <c r="U17" s="138"/>
      <c r="V17" s="34"/>
      <c r="W17" s="15"/>
    </row>
    <row r="18" spans="1:50" ht="15.75" thickBot="1" x14ac:dyDescent="0.3">
      <c r="A18" s="3">
        <v>14</v>
      </c>
      <c r="B18" s="29">
        <v>42928</v>
      </c>
      <c r="C18" s="28" t="s">
        <v>30</v>
      </c>
      <c r="D18" s="28"/>
      <c r="E18" s="28"/>
      <c r="F18" s="28"/>
      <c r="G18" s="28"/>
      <c r="H18" s="28"/>
      <c r="I18" s="28">
        <v>1</v>
      </c>
      <c r="J18" s="33" t="s">
        <v>95</v>
      </c>
      <c r="K18" s="33" t="s">
        <v>95</v>
      </c>
      <c r="L18" s="28" t="s">
        <v>20</v>
      </c>
      <c r="M18" s="28" t="s">
        <v>20</v>
      </c>
      <c r="N18" s="28" t="s">
        <v>25</v>
      </c>
      <c r="O18" s="28" t="s">
        <v>25</v>
      </c>
      <c r="P18" s="28" t="s">
        <v>25</v>
      </c>
      <c r="Q18" s="28" t="s">
        <v>27</v>
      </c>
      <c r="R18" s="28" t="s">
        <v>25</v>
      </c>
      <c r="S18" s="28" t="s">
        <v>20</v>
      </c>
      <c r="U18" s="110"/>
      <c r="V18" s="26"/>
      <c r="W18" s="16"/>
    </row>
    <row r="19" spans="1:50" ht="15" customHeight="1" x14ac:dyDescent="0.25">
      <c r="A19" s="3">
        <v>15</v>
      </c>
      <c r="B19" s="29">
        <v>42928</v>
      </c>
      <c r="C19" s="28" t="s">
        <v>23</v>
      </c>
      <c r="D19" s="28"/>
      <c r="E19" s="28"/>
      <c r="F19" s="28"/>
      <c r="G19" s="28"/>
      <c r="H19" s="28"/>
      <c r="I19" s="28">
        <v>1</v>
      </c>
      <c r="J19" s="33" t="s">
        <v>95</v>
      </c>
      <c r="K19" s="33" t="s">
        <v>95</v>
      </c>
      <c r="L19" s="28" t="s">
        <v>20</v>
      </c>
      <c r="M19" s="28" t="s">
        <v>20</v>
      </c>
      <c r="N19" s="28" t="s">
        <v>20</v>
      </c>
      <c r="O19" s="28" t="s">
        <v>25</v>
      </c>
      <c r="P19" s="28" t="s">
        <v>20</v>
      </c>
      <c r="Q19" s="28" t="s">
        <v>27</v>
      </c>
      <c r="R19" s="28" t="s">
        <v>20</v>
      </c>
      <c r="S19" s="28" t="s">
        <v>20</v>
      </c>
      <c r="U19" s="139" t="s">
        <v>36</v>
      </c>
      <c r="V19" s="10" t="s">
        <v>20</v>
      </c>
      <c r="W19" s="25">
        <f>+COUNTIF(L5:L65,"Si")</f>
        <v>28</v>
      </c>
      <c r="X19" s="125" t="s">
        <v>118</v>
      </c>
      <c r="Y19" s="48" t="s">
        <v>114</v>
      </c>
      <c r="Z19" s="49">
        <f>COUNTIFS($C$5:$C$65,"M",$L$5:$L$65,"Si")</f>
        <v>14</v>
      </c>
      <c r="AA19" s="125" t="s">
        <v>117</v>
      </c>
      <c r="AB19" s="48" t="s">
        <v>114</v>
      </c>
      <c r="AC19" s="55">
        <f>COUNTIFS($C$5:$C$65,"M",$L$5:$L$65,"No")</f>
        <v>2</v>
      </c>
      <c r="AD19" s="125" t="s">
        <v>118</v>
      </c>
      <c r="AE19" s="48" t="s">
        <v>4</v>
      </c>
      <c r="AF19" s="48">
        <f>COUNTIFS($D$5:$D$65,"1",$L$5:$L$65,"Si")</f>
        <v>7</v>
      </c>
      <c r="AG19" s="48" t="s">
        <v>7</v>
      </c>
      <c r="AH19" s="48">
        <f>COUNTIFS($G$5:$G$65,"1",$L$5:$L$65,"Si")</f>
        <v>4</v>
      </c>
      <c r="AI19" s="48" t="s">
        <v>29</v>
      </c>
      <c r="AJ19" s="49">
        <f>COUNTIFS($I$5:$I$65,"Blanco",$L$5:$L$65,"Si")</f>
        <v>0</v>
      </c>
      <c r="AK19" s="50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x14ac:dyDescent="0.25">
      <c r="A20" s="3">
        <v>16</v>
      </c>
      <c r="B20" s="29">
        <v>42928</v>
      </c>
      <c r="C20" s="28" t="s">
        <v>23</v>
      </c>
      <c r="D20" s="28"/>
      <c r="E20" s="28">
        <v>1</v>
      </c>
      <c r="F20" s="28"/>
      <c r="G20" s="28"/>
      <c r="H20" s="28"/>
      <c r="I20" s="28"/>
      <c r="J20" s="33" t="s">
        <v>95</v>
      </c>
      <c r="K20" s="33" t="s">
        <v>96</v>
      </c>
      <c r="L20" s="28" t="s">
        <v>20</v>
      </c>
      <c r="M20" s="28" t="s">
        <v>25</v>
      </c>
      <c r="N20" s="28" t="s">
        <v>25</v>
      </c>
      <c r="O20" s="28" t="s">
        <v>25</v>
      </c>
      <c r="P20" s="28" t="s">
        <v>25</v>
      </c>
      <c r="Q20" s="28" t="s">
        <v>26</v>
      </c>
      <c r="R20" s="28" t="s">
        <v>25</v>
      </c>
      <c r="S20" s="28" t="s">
        <v>25</v>
      </c>
      <c r="U20" s="109"/>
      <c r="V20" s="9" t="s">
        <v>25</v>
      </c>
      <c r="W20" s="15">
        <f>+COUNTIF(L5:L65,"No")</f>
        <v>7</v>
      </c>
      <c r="X20" s="126"/>
      <c r="Y20" s="6" t="s">
        <v>115</v>
      </c>
      <c r="Z20" s="51">
        <f>COUNTIFS($C$5:$C$65,"F",$L$5:$L$65,"Si")</f>
        <v>14</v>
      </c>
      <c r="AA20" s="126"/>
      <c r="AB20" s="6" t="s">
        <v>115</v>
      </c>
      <c r="AC20" s="57">
        <f>COUNTIFS($C$5:$C$65,"F",$L$5:$L$65,"No")</f>
        <v>5</v>
      </c>
      <c r="AD20" s="126"/>
      <c r="AE20" s="6" t="s">
        <v>5</v>
      </c>
      <c r="AF20" s="6">
        <f>COUNTIFS($E$5:$E$65,"1",$L$5:$L$65,"Si")</f>
        <v>6</v>
      </c>
      <c r="AG20" s="39" t="s">
        <v>8</v>
      </c>
      <c r="AH20" s="6">
        <f>COUNTIFS($H$5:$H$65,"1",$L$5:$L$65,"Si")</f>
        <v>3</v>
      </c>
      <c r="AI20" s="6"/>
      <c r="AJ20" s="51"/>
      <c r="AK20" s="50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5.75" thickBot="1" x14ac:dyDescent="0.3">
      <c r="A21" s="3">
        <v>17</v>
      </c>
      <c r="B21" s="29">
        <v>42928</v>
      </c>
      <c r="C21" s="28" t="s">
        <v>30</v>
      </c>
      <c r="D21" s="28">
        <v>1</v>
      </c>
      <c r="E21" s="28"/>
      <c r="F21" s="28"/>
      <c r="G21" s="28"/>
      <c r="H21" s="28"/>
      <c r="I21" s="28"/>
      <c r="J21" s="33" t="s">
        <v>95</v>
      </c>
      <c r="K21" s="33" t="s">
        <v>96</v>
      </c>
      <c r="L21" s="28" t="s">
        <v>20</v>
      </c>
      <c r="M21" s="28" t="s">
        <v>20</v>
      </c>
      <c r="N21" s="28" t="s">
        <v>20</v>
      </c>
      <c r="O21" s="28" t="s">
        <v>25</v>
      </c>
      <c r="P21" s="28" t="s">
        <v>20</v>
      </c>
      <c r="Q21" s="28" t="s">
        <v>28</v>
      </c>
      <c r="R21" s="28" t="s">
        <v>20</v>
      </c>
      <c r="S21" s="28" t="s">
        <v>20</v>
      </c>
      <c r="U21" s="110"/>
      <c r="V21" s="13" t="s">
        <v>29</v>
      </c>
      <c r="W21" s="16">
        <f>+COUNTIF(L5:L65,"Blanco")</f>
        <v>0</v>
      </c>
      <c r="X21" s="127"/>
      <c r="Y21" s="26" t="s">
        <v>29</v>
      </c>
      <c r="Z21" s="52">
        <f>COUNTIFS($C$5:$C$65,"Blanco",$L$5:$L$65,"Si")</f>
        <v>0</v>
      </c>
      <c r="AA21" s="127"/>
      <c r="AB21" s="26" t="s">
        <v>29</v>
      </c>
      <c r="AC21" s="58">
        <f>COUNTIFS($C$5:$C$65,"Blanco",$L$5:$L$65,"No")</f>
        <v>0</v>
      </c>
      <c r="AD21" s="127"/>
      <c r="AE21" s="26" t="s">
        <v>6</v>
      </c>
      <c r="AF21" s="26">
        <f>COUNTIFS($F$5:$F$65,"1",$L$5:$L$65,"Si")</f>
        <v>5</v>
      </c>
      <c r="AG21" s="26" t="s">
        <v>9</v>
      </c>
      <c r="AH21" s="26">
        <f>COUNTIFS($I$5:$I$65,"1",$L$5:$L$65,"Si")</f>
        <v>3</v>
      </c>
      <c r="AI21" s="26"/>
      <c r="AJ21" s="52"/>
      <c r="AK21" s="50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x14ac:dyDescent="0.25">
      <c r="A22" s="3">
        <v>18</v>
      </c>
      <c r="B22" s="29">
        <v>42928</v>
      </c>
      <c r="C22" s="28" t="s">
        <v>23</v>
      </c>
      <c r="D22" s="28"/>
      <c r="E22" s="28"/>
      <c r="F22" s="28"/>
      <c r="G22" s="28"/>
      <c r="H22" s="28">
        <v>1</v>
      </c>
      <c r="I22" s="28"/>
      <c r="J22" s="33" t="s">
        <v>95</v>
      </c>
      <c r="K22" s="33" t="s">
        <v>96</v>
      </c>
      <c r="L22" s="28" t="s">
        <v>20</v>
      </c>
      <c r="M22" s="28" t="s">
        <v>25</v>
      </c>
      <c r="N22" s="28" t="s">
        <v>25</v>
      </c>
      <c r="O22" s="28" t="s">
        <v>25</v>
      </c>
      <c r="P22" s="28" t="s">
        <v>25</v>
      </c>
      <c r="Q22" s="28" t="s">
        <v>26</v>
      </c>
      <c r="R22" s="28" t="s">
        <v>25</v>
      </c>
      <c r="S22" s="28" t="s">
        <v>20</v>
      </c>
      <c r="U22" s="137" t="s">
        <v>37</v>
      </c>
      <c r="V22" s="12" t="s">
        <v>20</v>
      </c>
      <c r="W22" s="14">
        <f>+COUNTIF(M5:M65,"Si")</f>
        <v>22</v>
      </c>
      <c r="X22" s="125" t="s">
        <v>118</v>
      </c>
      <c r="Y22" s="48" t="s">
        <v>114</v>
      </c>
      <c r="Z22" s="49">
        <f>COUNTIFS($C$5:$C$65,"M",$M$5:$M$65,"Si")</f>
        <v>13</v>
      </c>
      <c r="AA22" s="125" t="s">
        <v>117</v>
      </c>
      <c r="AB22" s="48" t="s">
        <v>114</v>
      </c>
      <c r="AC22" s="55">
        <f>COUNTIFS($C$5:$C$65,"M",$M$5:$M$65,"No")</f>
        <v>3</v>
      </c>
      <c r="AD22" s="132" t="s">
        <v>118</v>
      </c>
      <c r="AE22" s="61" t="s">
        <v>4</v>
      </c>
      <c r="AF22" s="48">
        <f>COUNTIFS($D$5:$D$65,"1",$M$5:$M$65,"Si")</f>
        <v>5</v>
      </c>
      <c r="AG22" s="61" t="s">
        <v>7</v>
      </c>
      <c r="AH22" s="48">
        <f>COUNTIFS($G$5:$G$65,"1",$M$5:$M$65,"Si")</f>
        <v>4</v>
      </c>
      <c r="AI22" s="61" t="s">
        <v>29</v>
      </c>
      <c r="AJ22" s="49">
        <f>COUNTIFS($I$5:$I$65,"Blanco",$M$5:$M$65,"Si")</f>
        <v>0</v>
      </c>
      <c r="AK22" s="50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x14ac:dyDescent="0.25">
      <c r="A23" s="3">
        <v>19</v>
      </c>
      <c r="B23" s="29">
        <v>42928</v>
      </c>
      <c r="C23" s="28" t="s">
        <v>30</v>
      </c>
      <c r="D23" s="28"/>
      <c r="E23" s="28"/>
      <c r="F23" s="28">
        <v>1</v>
      </c>
      <c r="G23" s="28"/>
      <c r="H23" s="28"/>
      <c r="I23" s="28"/>
      <c r="J23" s="33" t="s">
        <v>95</v>
      </c>
      <c r="K23" s="33" t="s">
        <v>96</v>
      </c>
      <c r="L23" s="28" t="s">
        <v>20</v>
      </c>
      <c r="M23" s="28" t="s">
        <v>20</v>
      </c>
      <c r="N23" s="28" t="s">
        <v>25</v>
      </c>
      <c r="O23" s="28" t="s">
        <v>25</v>
      </c>
      <c r="P23" s="28" t="s">
        <v>25</v>
      </c>
      <c r="Q23" s="28" t="s">
        <v>28</v>
      </c>
      <c r="R23" s="28" t="s">
        <v>25</v>
      </c>
      <c r="S23" s="28" t="s">
        <v>20</v>
      </c>
      <c r="U23" s="109"/>
      <c r="V23" s="9" t="s">
        <v>25</v>
      </c>
      <c r="W23" s="15">
        <f>+COUNTIF(M5:M65,"No")</f>
        <v>13</v>
      </c>
      <c r="X23" s="126"/>
      <c r="Y23" s="6" t="s">
        <v>115</v>
      </c>
      <c r="Z23" s="51">
        <f>COUNTIFS($C$5:$C$65,"F",$M$5:$M$65,"Si")</f>
        <v>9</v>
      </c>
      <c r="AA23" s="126"/>
      <c r="AB23" s="6" t="s">
        <v>115</v>
      </c>
      <c r="AC23" s="57">
        <f>COUNTIFS($C$5:$C$65,"F",$M$5:$M$65,"No")</f>
        <v>10</v>
      </c>
      <c r="AD23" s="126"/>
      <c r="AE23" s="6" t="s">
        <v>5</v>
      </c>
      <c r="AF23" s="6">
        <f>COUNTIFS($E$5:$E$65,"1",$M$5:$M$65,"Si")</f>
        <v>4</v>
      </c>
      <c r="AG23" s="39" t="s">
        <v>8</v>
      </c>
      <c r="AH23" s="6">
        <f>COUNTIFS($H$5:$H$65,"1",$M$5:$M$65,"Si")</f>
        <v>2</v>
      </c>
      <c r="AI23" s="6"/>
      <c r="AJ23" s="51"/>
      <c r="AK23" s="50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5.75" thickBot="1" x14ac:dyDescent="0.3">
      <c r="A24" s="3">
        <v>20</v>
      </c>
      <c r="B24" s="29">
        <v>42928</v>
      </c>
      <c r="C24" s="28" t="s">
        <v>23</v>
      </c>
      <c r="D24" s="28"/>
      <c r="E24" s="28"/>
      <c r="F24" s="28"/>
      <c r="G24" s="28">
        <v>1</v>
      </c>
      <c r="H24" s="28"/>
      <c r="I24" s="28"/>
      <c r="J24" s="33" t="s">
        <v>95</v>
      </c>
      <c r="K24" s="33" t="s">
        <v>96</v>
      </c>
      <c r="L24" s="28" t="s">
        <v>20</v>
      </c>
      <c r="M24" s="28" t="s">
        <v>20</v>
      </c>
      <c r="N24" s="28" t="s">
        <v>20</v>
      </c>
      <c r="O24" s="28" t="s">
        <v>25</v>
      </c>
      <c r="P24" s="28" t="s">
        <v>20</v>
      </c>
      <c r="Q24" s="28" t="s">
        <v>27</v>
      </c>
      <c r="R24" s="28" t="s">
        <v>20</v>
      </c>
      <c r="S24" s="28" t="s">
        <v>20</v>
      </c>
      <c r="U24" s="110"/>
      <c r="V24" s="13" t="s">
        <v>29</v>
      </c>
      <c r="W24" s="16">
        <f>+COUNTIF(M5:M65,"Blanco")</f>
        <v>0</v>
      </c>
      <c r="X24" s="127"/>
      <c r="Y24" s="26" t="s">
        <v>29</v>
      </c>
      <c r="Z24" s="52">
        <f>COUNTIFS($C$5:$C$65,"Blanco",$M$5:$M$65,"Si")</f>
        <v>0</v>
      </c>
      <c r="AA24" s="127"/>
      <c r="AB24" s="26" t="s">
        <v>29</v>
      </c>
      <c r="AC24" s="58">
        <f>COUNTIFS($C$5:$C$65,"Blanco",$M$5:$M$65,"No")</f>
        <v>0</v>
      </c>
      <c r="AD24" s="127"/>
      <c r="AE24" s="26" t="s">
        <v>6</v>
      </c>
      <c r="AF24" s="26">
        <f>COUNTIFS($F$5:$F$65,"1",$M$5:$M$65,"Si")</f>
        <v>4</v>
      </c>
      <c r="AG24" s="26" t="s">
        <v>9</v>
      </c>
      <c r="AH24" s="26">
        <f>COUNTIFS($I$5:$I$65,"1",$M$5:$M$65,"Si")</f>
        <v>3</v>
      </c>
      <c r="AI24" s="26"/>
      <c r="AJ24" s="52"/>
      <c r="AK24" s="50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x14ac:dyDescent="0.25">
      <c r="A25" s="3">
        <v>21</v>
      </c>
      <c r="B25" s="29">
        <v>42928</v>
      </c>
      <c r="C25" s="28" t="s">
        <v>23</v>
      </c>
      <c r="D25" s="28"/>
      <c r="E25" s="28"/>
      <c r="F25" s="28"/>
      <c r="G25" s="28"/>
      <c r="H25" s="28">
        <v>1</v>
      </c>
      <c r="I25" s="28"/>
      <c r="J25" s="33" t="s">
        <v>95</v>
      </c>
      <c r="K25" s="33" t="s">
        <v>96</v>
      </c>
      <c r="L25" s="28" t="s">
        <v>25</v>
      </c>
      <c r="M25" s="28" t="s">
        <v>25</v>
      </c>
      <c r="N25" s="28" t="s">
        <v>25</v>
      </c>
      <c r="O25" s="28" t="s">
        <v>25</v>
      </c>
      <c r="P25" s="28" t="s">
        <v>25</v>
      </c>
      <c r="Q25" s="28" t="s">
        <v>28</v>
      </c>
      <c r="R25" s="28" t="s">
        <v>25</v>
      </c>
      <c r="S25" s="28" t="s">
        <v>25</v>
      </c>
      <c r="U25" s="137" t="s">
        <v>38</v>
      </c>
      <c r="V25" s="12" t="s">
        <v>20</v>
      </c>
      <c r="W25" s="14">
        <f>+COUNTIF(N5:N65,"Si")</f>
        <v>13</v>
      </c>
      <c r="X25" s="125" t="s">
        <v>118</v>
      </c>
      <c r="Y25" s="48" t="s">
        <v>114</v>
      </c>
      <c r="Z25" s="49">
        <f>COUNTIFS($C$5:$C$65,"M",$N$5:$N$65,"Si")</f>
        <v>5</v>
      </c>
      <c r="AA25" s="125" t="s">
        <v>117</v>
      </c>
      <c r="AB25" s="48" t="s">
        <v>114</v>
      </c>
      <c r="AC25" s="55">
        <f>COUNTIFS($C$5:$C$65,"M",$N$5:$N$65,"No")</f>
        <v>11</v>
      </c>
      <c r="AD25" s="125" t="s">
        <v>117</v>
      </c>
      <c r="AE25" s="48" t="s">
        <v>4</v>
      </c>
      <c r="AF25" s="48">
        <f>COUNTIFS($D$5:$D$65,"1",$N$5:$N$65,"No")</f>
        <v>4</v>
      </c>
      <c r="AG25" s="48" t="s">
        <v>7</v>
      </c>
      <c r="AH25" s="48">
        <f>COUNTIFS($G$5:$G$65,"1",$N$5:$N$65,"No")</f>
        <v>3</v>
      </c>
      <c r="AI25" s="48" t="s">
        <v>29</v>
      </c>
      <c r="AJ25" s="49">
        <f>COUNTIFS($I$5:$I$65,"Blanco",$N$5:$N$65,"No")</f>
        <v>0</v>
      </c>
      <c r="AK25" s="50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x14ac:dyDescent="0.25">
      <c r="A26" s="3">
        <v>22</v>
      </c>
      <c r="B26" s="29">
        <v>42928</v>
      </c>
      <c r="C26" s="28" t="s">
        <v>30</v>
      </c>
      <c r="D26" s="28"/>
      <c r="E26" s="28"/>
      <c r="F26" s="28"/>
      <c r="G26" s="28">
        <v>1</v>
      </c>
      <c r="H26" s="28"/>
      <c r="I26" s="28"/>
      <c r="J26" s="33" t="s">
        <v>95</v>
      </c>
      <c r="K26" s="33" t="s">
        <v>96</v>
      </c>
      <c r="L26" s="28" t="s">
        <v>25</v>
      </c>
      <c r="M26" s="28" t="s">
        <v>25</v>
      </c>
      <c r="N26" s="28" t="s">
        <v>25</v>
      </c>
      <c r="O26" s="28" t="s">
        <v>25</v>
      </c>
      <c r="P26" s="28" t="s">
        <v>25</v>
      </c>
      <c r="Q26" s="28" t="s">
        <v>26</v>
      </c>
      <c r="R26" s="28" t="s">
        <v>25</v>
      </c>
      <c r="S26" s="28" t="s">
        <v>25</v>
      </c>
      <c r="U26" s="109"/>
      <c r="V26" s="9" t="s">
        <v>25</v>
      </c>
      <c r="W26" s="15">
        <f>+COUNTIF(N5:N65,"No")</f>
        <v>22</v>
      </c>
      <c r="X26" s="126"/>
      <c r="Y26" s="6" t="s">
        <v>115</v>
      </c>
      <c r="Z26" s="51">
        <f>COUNTIFS($C$5:$C$65,"F",$N$5:$N$65,"Si")</f>
        <v>8</v>
      </c>
      <c r="AA26" s="126"/>
      <c r="AB26" s="6" t="s">
        <v>115</v>
      </c>
      <c r="AC26" s="57">
        <f>COUNTIFS($C$5:$C$65,"F",$N$5:$N$65,"No")</f>
        <v>11</v>
      </c>
      <c r="AD26" s="126"/>
      <c r="AE26" s="6" t="s">
        <v>5</v>
      </c>
      <c r="AF26" s="6">
        <f>COUNTIFS($E$5:$E$65,"1",$N$5:$N$65,"No")</f>
        <v>3</v>
      </c>
      <c r="AG26" s="39" t="s">
        <v>8</v>
      </c>
      <c r="AH26" s="6">
        <f>COUNTIFS($H$5:$H$65,"1",$N$5:$N$65,"No")</f>
        <v>4</v>
      </c>
      <c r="AI26" s="6"/>
      <c r="AJ26" s="51"/>
      <c r="AK26" s="50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5.75" thickBot="1" x14ac:dyDescent="0.3">
      <c r="A27" s="3">
        <v>23</v>
      </c>
      <c r="B27" s="29">
        <v>42928</v>
      </c>
      <c r="C27" s="28" t="s">
        <v>30</v>
      </c>
      <c r="D27" s="28"/>
      <c r="E27" s="28">
        <v>1</v>
      </c>
      <c r="F27" s="28"/>
      <c r="G27" s="28"/>
      <c r="H27" s="28"/>
      <c r="I27" s="28"/>
      <c r="J27" s="33" t="s">
        <v>95</v>
      </c>
      <c r="K27" s="33" t="s">
        <v>96</v>
      </c>
      <c r="L27" s="28" t="s">
        <v>20</v>
      </c>
      <c r="M27" s="28" t="s">
        <v>20</v>
      </c>
      <c r="N27" s="28" t="s">
        <v>20</v>
      </c>
      <c r="O27" s="28" t="s">
        <v>25</v>
      </c>
      <c r="P27" s="28" t="s">
        <v>20</v>
      </c>
      <c r="Q27" s="28" t="s">
        <v>27</v>
      </c>
      <c r="R27" s="28" t="s">
        <v>20</v>
      </c>
      <c r="S27" s="28" t="s">
        <v>20</v>
      </c>
      <c r="U27" s="110"/>
      <c r="V27" s="13" t="s">
        <v>29</v>
      </c>
      <c r="W27" s="16">
        <f>+COUNTIF(N5:N65,"Blanco")</f>
        <v>0</v>
      </c>
      <c r="X27" s="127"/>
      <c r="Y27" s="26" t="s">
        <v>29</v>
      </c>
      <c r="Z27" s="52">
        <f>COUNTIFS($C$5:$C$65,"Blanco",$N$5:$N$65,"Si")</f>
        <v>0</v>
      </c>
      <c r="AA27" s="127"/>
      <c r="AB27" s="26" t="s">
        <v>29</v>
      </c>
      <c r="AC27" s="58">
        <f>COUNTIFS($C$5:$C$65,"Blanco",$N$5:$N$65,"No")</f>
        <v>0</v>
      </c>
      <c r="AD27" s="127"/>
      <c r="AE27" s="26" t="s">
        <v>6</v>
      </c>
      <c r="AF27" s="26">
        <f>COUNTIFS($F$5:$F$65,"1",$N$5:$N$65,"No")</f>
        <v>5</v>
      </c>
      <c r="AG27" s="26" t="s">
        <v>9</v>
      </c>
      <c r="AH27" s="26">
        <f>COUNTIFS($I$5:$I$65,"1",$N$5:$N$65,"No")</f>
        <v>3</v>
      </c>
      <c r="AI27" s="26"/>
      <c r="AJ27" s="52"/>
      <c r="AK27" s="50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x14ac:dyDescent="0.25">
      <c r="A28" s="3">
        <v>24</v>
      </c>
      <c r="B28" s="29">
        <v>42928</v>
      </c>
      <c r="C28" s="28" t="s">
        <v>23</v>
      </c>
      <c r="D28" s="28">
        <v>1</v>
      </c>
      <c r="E28" s="28"/>
      <c r="F28" s="28"/>
      <c r="G28" s="28"/>
      <c r="H28" s="28"/>
      <c r="I28" s="28"/>
      <c r="J28" s="33" t="s">
        <v>95</v>
      </c>
      <c r="K28" s="33" t="s">
        <v>96</v>
      </c>
      <c r="L28" s="28" t="s">
        <v>20</v>
      </c>
      <c r="M28" s="28" t="s">
        <v>25</v>
      </c>
      <c r="N28" s="28" t="s">
        <v>25</v>
      </c>
      <c r="O28" s="28" t="s">
        <v>25</v>
      </c>
      <c r="P28" s="28" t="s">
        <v>25</v>
      </c>
      <c r="Q28" s="28" t="s">
        <v>28</v>
      </c>
      <c r="R28" s="28" t="s">
        <v>25</v>
      </c>
      <c r="S28" s="28" t="s">
        <v>20</v>
      </c>
      <c r="U28" s="137" t="s">
        <v>39</v>
      </c>
      <c r="V28" s="12" t="s">
        <v>20</v>
      </c>
      <c r="W28" s="14">
        <f>+COUNTIF(O5:O65,"Si")</f>
        <v>3</v>
      </c>
      <c r="X28" s="125" t="s">
        <v>118</v>
      </c>
      <c r="Y28" s="48" t="s">
        <v>114</v>
      </c>
      <c r="Z28" s="49">
        <f>COUNTIFS($C$5:$C$65,"M",$O$5:O65,"Si")</f>
        <v>1</v>
      </c>
      <c r="AA28" s="128" t="s">
        <v>117</v>
      </c>
      <c r="AB28" s="19" t="s">
        <v>114</v>
      </c>
      <c r="AC28" s="65">
        <f>COUNTIFS($C$5:$C$65,"M",$O$5:$O$65,"No")</f>
        <v>15</v>
      </c>
      <c r="AD28" s="128" t="s">
        <v>117</v>
      </c>
      <c r="AE28" s="19" t="s">
        <v>4</v>
      </c>
      <c r="AF28" s="19">
        <f>COUNTIFS($D$5:$D$65,"1",$O$5:$O$65,"No")</f>
        <v>6</v>
      </c>
      <c r="AG28" s="19" t="s">
        <v>7</v>
      </c>
      <c r="AH28" s="19">
        <f>COUNTIFS($G$5:$G$65,"1",$O$5:$O$65,"No")</f>
        <v>6</v>
      </c>
      <c r="AI28" s="19" t="s">
        <v>29</v>
      </c>
      <c r="AJ28" s="66">
        <f>COUNTIFS($I$5:$I$65,"Blanco",$O$5:$O$65,"No")</f>
        <v>0</v>
      </c>
      <c r="AK28" s="50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x14ac:dyDescent="0.25">
      <c r="A29" s="3">
        <v>25</v>
      </c>
      <c r="B29" s="29">
        <v>42928</v>
      </c>
      <c r="C29" s="28" t="s">
        <v>30</v>
      </c>
      <c r="D29" s="28">
        <v>1</v>
      </c>
      <c r="E29" s="28"/>
      <c r="F29" s="28"/>
      <c r="G29" s="28"/>
      <c r="H29" s="28"/>
      <c r="I29" s="28"/>
      <c r="J29" s="33" t="s">
        <v>95</v>
      </c>
      <c r="K29" s="33" t="s">
        <v>96</v>
      </c>
      <c r="L29" s="28" t="s">
        <v>20</v>
      </c>
      <c r="M29" s="28" t="s">
        <v>20</v>
      </c>
      <c r="N29" s="28" t="s">
        <v>25</v>
      </c>
      <c r="O29" s="28" t="s">
        <v>25</v>
      </c>
      <c r="P29" s="28" t="s">
        <v>25</v>
      </c>
      <c r="Q29" s="28" t="s">
        <v>27</v>
      </c>
      <c r="R29" s="28" t="s">
        <v>25</v>
      </c>
      <c r="S29" s="28" t="s">
        <v>20</v>
      </c>
      <c r="U29" s="109"/>
      <c r="V29" s="9" t="s">
        <v>25</v>
      </c>
      <c r="W29" s="15">
        <f>+COUNTIF(O5:O65,"No")</f>
        <v>32</v>
      </c>
      <c r="X29" s="126"/>
      <c r="Y29" s="6" t="s">
        <v>115</v>
      </c>
      <c r="Z29" s="51">
        <f>COUNTIFS($C$5:$C$65,"F",$O$5:$O$65,"Si")</f>
        <v>2</v>
      </c>
      <c r="AA29" s="129"/>
      <c r="AB29" s="35" t="s">
        <v>115</v>
      </c>
      <c r="AC29" s="67">
        <f>COUNTIFS($C$2:$C$65,"F",$O$2:$O$65,"No")</f>
        <v>17</v>
      </c>
      <c r="AD29" s="129"/>
      <c r="AE29" s="35" t="s">
        <v>5</v>
      </c>
      <c r="AF29" s="35">
        <f>COUNTIFS($E$5:$E$65,"1",$O$5:$O$65,"No")</f>
        <v>6</v>
      </c>
      <c r="AG29" s="9" t="s">
        <v>8</v>
      </c>
      <c r="AH29" s="35">
        <f>COUNTIFS($H$5:$H$65,"1",$O$5:$O$65,"No")</f>
        <v>4</v>
      </c>
      <c r="AI29" s="35"/>
      <c r="AJ29" s="68"/>
      <c r="AK29" s="50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5.75" thickBot="1" x14ac:dyDescent="0.3">
      <c r="A30" s="3">
        <v>26</v>
      </c>
      <c r="B30" s="29">
        <v>42935</v>
      </c>
      <c r="C30" s="28" t="s">
        <v>23</v>
      </c>
      <c r="D30" s="28">
        <v>1</v>
      </c>
      <c r="E30" s="28"/>
      <c r="F30" s="28"/>
      <c r="G30" s="28"/>
      <c r="H30" s="28"/>
      <c r="I30" s="28"/>
      <c r="J30" s="33" t="s">
        <v>95</v>
      </c>
      <c r="K30" s="6" t="s">
        <v>97</v>
      </c>
      <c r="L30" s="28" t="s">
        <v>20</v>
      </c>
      <c r="M30" s="28" t="s">
        <v>20</v>
      </c>
      <c r="N30" s="28" t="s">
        <v>20</v>
      </c>
      <c r="O30" s="28" t="s">
        <v>20</v>
      </c>
      <c r="P30" s="28" t="s">
        <v>25</v>
      </c>
      <c r="Q30" s="28" t="s">
        <v>27</v>
      </c>
      <c r="R30" s="28" t="s">
        <v>20</v>
      </c>
      <c r="S30" s="28" t="s">
        <v>20</v>
      </c>
      <c r="U30" s="110"/>
      <c r="V30" s="13" t="s">
        <v>29</v>
      </c>
      <c r="W30" s="16">
        <f>+COUNTIF(O5:O65,"Blanco")</f>
        <v>0</v>
      </c>
      <c r="X30" s="127"/>
      <c r="Y30" s="26" t="s">
        <v>29</v>
      </c>
      <c r="Z30" s="52">
        <f>COUNTIFS($C$5:$C$65,"Blanco",$O$5:$O$65,"Si")</f>
        <v>0</v>
      </c>
      <c r="AA30" s="130"/>
      <c r="AB30" s="27" t="s">
        <v>29</v>
      </c>
      <c r="AC30" s="69">
        <f>COUNTIFS($C$2:$C$65,"Blanco",$O$2:$O$65,"No")</f>
        <v>0</v>
      </c>
      <c r="AD30" s="130"/>
      <c r="AE30" s="27" t="s">
        <v>6</v>
      </c>
      <c r="AF30" s="27">
        <f>COUNTIFS($F$5:$F$65,"1",$O$5:$O$65,"No")</f>
        <v>6</v>
      </c>
      <c r="AG30" s="27" t="s">
        <v>9</v>
      </c>
      <c r="AH30" s="27">
        <f>COUNTIFS($I$5:$I$65,"1",$O$5:$O$65,"No")</f>
        <v>4</v>
      </c>
      <c r="AI30" s="27"/>
      <c r="AJ30" s="70"/>
      <c r="AK30" s="50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x14ac:dyDescent="0.25">
      <c r="A31" s="3">
        <v>27</v>
      </c>
      <c r="B31" s="29">
        <v>42935</v>
      </c>
      <c r="C31" s="28" t="s">
        <v>23</v>
      </c>
      <c r="D31" s="28"/>
      <c r="E31" s="28"/>
      <c r="F31" s="28"/>
      <c r="G31" s="28">
        <v>1</v>
      </c>
      <c r="H31" s="28"/>
      <c r="I31" s="28"/>
      <c r="J31" s="33" t="s">
        <v>95</v>
      </c>
      <c r="K31" s="6" t="s">
        <v>97</v>
      </c>
      <c r="L31" s="28" t="s">
        <v>20</v>
      </c>
      <c r="M31" s="28" t="s">
        <v>20</v>
      </c>
      <c r="N31" s="28" t="s">
        <v>20</v>
      </c>
      <c r="O31" s="28" t="s">
        <v>25</v>
      </c>
      <c r="P31" s="28" t="s">
        <v>20</v>
      </c>
      <c r="Q31" s="28" t="s">
        <v>27</v>
      </c>
      <c r="R31" s="28" t="s">
        <v>20</v>
      </c>
      <c r="S31" s="28" t="s">
        <v>20</v>
      </c>
      <c r="U31" s="137" t="s">
        <v>40</v>
      </c>
      <c r="V31" s="12" t="s">
        <v>20</v>
      </c>
      <c r="W31" s="14">
        <f>+COUNTIF(P5:P65,"Si")</f>
        <v>12</v>
      </c>
      <c r="X31" s="125" t="s">
        <v>118</v>
      </c>
      <c r="Y31" s="48" t="s">
        <v>114</v>
      </c>
      <c r="Z31" s="49">
        <f>COUNTIFS($C$5:$C$65,"M",$P$5:$P$65,"Si")</f>
        <v>5</v>
      </c>
      <c r="AA31" s="128" t="s">
        <v>117</v>
      </c>
      <c r="AB31" s="19" t="s">
        <v>114</v>
      </c>
      <c r="AC31" s="65">
        <f>COUNTIFS($C$5:$C$65,"M",$P$5:$P$65,"No")</f>
        <v>11</v>
      </c>
      <c r="AD31" s="128" t="s">
        <v>117</v>
      </c>
      <c r="AE31" s="19" t="s">
        <v>4</v>
      </c>
      <c r="AF31" s="19">
        <f>COUNTIFS($D$5:$D$65,"1",$P$5:$P$65,"No")</f>
        <v>5</v>
      </c>
      <c r="AG31" s="19" t="s">
        <v>7</v>
      </c>
      <c r="AH31" s="19">
        <f>COUNTIFS($G$5:$G$65,"1",$P$5:$P$65,"No")</f>
        <v>3</v>
      </c>
      <c r="AI31" s="19" t="s">
        <v>29</v>
      </c>
      <c r="AJ31" s="66">
        <f>COUNTIFS($I$5:$I$65,"Blanco",$P$5:$P$65,"No")</f>
        <v>0</v>
      </c>
      <c r="AK31" s="50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x14ac:dyDescent="0.25">
      <c r="A32" s="3">
        <v>28</v>
      </c>
      <c r="B32" s="29">
        <v>42935</v>
      </c>
      <c r="C32" s="28" t="s">
        <v>30</v>
      </c>
      <c r="D32" s="28"/>
      <c r="E32" s="28"/>
      <c r="F32" s="28">
        <v>1</v>
      </c>
      <c r="G32" s="28"/>
      <c r="H32" s="28"/>
      <c r="I32" s="28"/>
      <c r="J32" s="33" t="s">
        <v>95</v>
      </c>
      <c r="K32" s="6" t="s">
        <v>97</v>
      </c>
      <c r="L32" s="28" t="s">
        <v>20</v>
      </c>
      <c r="M32" s="28" t="s">
        <v>20</v>
      </c>
      <c r="N32" s="28" t="s">
        <v>25</v>
      </c>
      <c r="O32" s="28" t="s">
        <v>25</v>
      </c>
      <c r="P32" s="28" t="s">
        <v>25</v>
      </c>
      <c r="Q32" s="28" t="s">
        <v>28</v>
      </c>
      <c r="R32" s="28" t="s">
        <v>25</v>
      </c>
      <c r="S32" s="28" t="s">
        <v>20</v>
      </c>
      <c r="U32" s="109"/>
      <c r="V32" s="9" t="s">
        <v>25</v>
      </c>
      <c r="W32" s="15">
        <f>+COUNTIF(P5:P65,"No")</f>
        <v>23</v>
      </c>
      <c r="X32" s="126"/>
      <c r="Y32" s="6" t="s">
        <v>115</v>
      </c>
      <c r="Z32" s="51">
        <f>COUNTIFS($C$5:$C$65,"F",$P$5:$P$65,"Si")</f>
        <v>7</v>
      </c>
      <c r="AA32" s="129"/>
      <c r="AB32" s="35" t="s">
        <v>115</v>
      </c>
      <c r="AC32" s="67">
        <f>COUNTIFS($C$5:$C$65,"F",$P$5:$P$65,"NO")</f>
        <v>12</v>
      </c>
      <c r="AD32" s="129"/>
      <c r="AE32" s="35" t="s">
        <v>5</v>
      </c>
      <c r="AF32" s="35">
        <f>COUNTIFS($E$5:$E$65,"1",$P$5:$P$65,"No")</f>
        <v>3</v>
      </c>
      <c r="AG32" s="9" t="s">
        <v>8</v>
      </c>
      <c r="AH32" s="35">
        <f>COUNTIFS($H$5:$H$65,"1",$P$5:$P$65,"No")</f>
        <v>5</v>
      </c>
      <c r="AI32" s="35"/>
      <c r="AJ32" s="68"/>
      <c r="AK32" s="50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5.75" thickBot="1" x14ac:dyDescent="0.3">
      <c r="A33" s="3">
        <v>29</v>
      </c>
      <c r="B33" s="29">
        <v>42935</v>
      </c>
      <c r="C33" s="28" t="s">
        <v>30</v>
      </c>
      <c r="D33" s="28"/>
      <c r="E33" s="28"/>
      <c r="F33" s="28"/>
      <c r="G33" s="28"/>
      <c r="H33" s="28">
        <v>1</v>
      </c>
      <c r="I33" s="28"/>
      <c r="J33" s="33" t="s">
        <v>95</v>
      </c>
      <c r="K33" s="6" t="s">
        <v>97</v>
      </c>
      <c r="L33" s="28" t="s">
        <v>25</v>
      </c>
      <c r="M33" s="28" t="s">
        <v>25</v>
      </c>
      <c r="N33" s="28" t="s">
        <v>25</v>
      </c>
      <c r="O33" s="28" t="s">
        <v>25</v>
      </c>
      <c r="P33" s="28" t="s">
        <v>25</v>
      </c>
      <c r="Q33" s="28" t="s">
        <v>26</v>
      </c>
      <c r="R33" s="28" t="s">
        <v>25</v>
      </c>
      <c r="S33" s="28" t="s">
        <v>25</v>
      </c>
      <c r="U33" s="110"/>
      <c r="V33" s="13" t="s">
        <v>29</v>
      </c>
      <c r="W33" s="16">
        <f>+COUNTIF(P5:P65,"Blanco")</f>
        <v>0</v>
      </c>
      <c r="X33" s="154"/>
      <c r="Y33" s="34" t="s">
        <v>29</v>
      </c>
      <c r="Z33" s="53">
        <f>COUNTIFS($C$5:$C$65,"Blanco",$P$5:$P$65,"Si")</f>
        <v>0</v>
      </c>
      <c r="AA33" s="153"/>
      <c r="AB33" s="71" t="s">
        <v>29</v>
      </c>
      <c r="AC33" s="72">
        <f>COUNTIFS($C$5:$C$65,"Blanco",$P$5:$P$65,"No")</f>
        <v>0</v>
      </c>
      <c r="AD33" s="130"/>
      <c r="AE33" s="27" t="s">
        <v>6</v>
      </c>
      <c r="AF33" s="27">
        <f>COUNTIFS($F$5:$F$65,"1",$P$5:$P$65,"No")</f>
        <v>4</v>
      </c>
      <c r="AG33" s="71" t="s">
        <v>9</v>
      </c>
      <c r="AH33" s="71">
        <f>COUNTIFS($I$5:$I$65,"1",$P$5:$P$65,"No")</f>
        <v>3</v>
      </c>
      <c r="AI33" s="71"/>
      <c r="AJ33" s="73"/>
      <c r="AK33" s="5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</row>
    <row r="34" spans="1:50" x14ac:dyDescent="0.25">
      <c r="A34" s="3">
        <v>30</v>
      </c>
      <c r="B34" s="29">
        <v>42935</v>
      </c>
      <c r="C34" s="28" t="s">
        <v>23</v>
      </c>
      <c r="D34" s="28"/>
      <c r="E34" s="28"/>
      <c r="F34" s="28"/>
      <c r="G34" s="28"/>
      <c r="H34" s="28"/>
      <c r="I34" s="28">
        <v>1</v>
      </c>
      <c r="J34" s="33" t="s">
        <v>95</v>
      </c>
      <c r="K34" s="6" t="s">
        <v>97</v>
      </c>
      <c r="L34" s="28" t="s">
        <v>20</v>
      </c>
      <c r="M34" s="28" t="s">
        <v>20</v>
      </c>
      <c r="N34" s="28" t="s">
        <v>25</v>
      </c>
      <c r="O34" s="28" t="s">
        <v>25</v>
      </c>
      <c r="P34" s="28" t="s">
        <v>25</v>
      </c>
      <c r="Q34" s="28" t="s">
        <v>26</v>
      </c>
      <c r="R34" s="28" t="s">
        <v>25</v>
      </c>
      <c r="S34" s="28" t="s">
        <v>20</v>
      </c>
      <c r="U34" s="137" t="s">
        <v>41</v>
      </c>
      <c r="V34" s="12" t="s">
        <v>27</v>
      </c>
      <c r="W34" s="14">
        <f>+COUNTIF(Q5:Q65,"Elevada")</f>
        <v>18</v>
      </c>
      <c r="X34" s="125" t="s">
        <v>116</v>
      </c>
      <c r="Y34" s="48" t="s">
        <v>114</v>
      </c>
      <c r="Z34" s="49">
        <f>COUNTIFS($C$5:$C$65,"M",$Q$5:$Q$65,"Elevada")</f>
        <v>11</v>
      </c>
      <c r="AA34" s="125" t="s">
        <v>119</v>
      </c>
      <c r="AB34" s="48" t="s">
        <v>114</v>
      </c>
      <c r="AC34" s="49">
        <f>COUNTIFS($C$5:$C$65,"M",$Q$5:$Q$65,"Alguna")</f>
        <v>3</v>
      </c>
      <c r="AD34" s="125" t="s">
        <v>120</v>
      </c>
      <c r="AE34" s="48" t="s">
        <v>114</v>
      </c>
      <c r="AF34" s="49">
        <f>COUNTIFS($C$5:$C$65,"M",$Q$5:$Q$65,"Poca")</f>
        <v>2</v>
      </c>
      <c r="AG34" s="125" t="s">
        <v>121</v>
      </c>
      <c r="AH34" s="48" t="s">
        <v>114</v>
      </c>
      <c r="AI34" s="55">
        <f>COUNTIFS($C$5:$C$65,"M",$Q$5:$Q$65,"Ninguna")</f>
        <v>0</v>
      </c>
      <c r="AJ34" s="55"/>
      <c r="AK34" s="125" t="s">
        <v>122</v>
      </c>
      <c r="AL34" s="56" t="s">
        <v>4</v>
      </c>
      <c r="AM34" s="48">
        <f>COUNTIFS($D$5:$D$65,"1",$Q$5:$Q$65,"Elevada")</f>
        <v>4</v>
      </c>
      <c r="AN34" s="48" t="s">
        <v>7</v>
      </c>
      <c r="AO34" s="48">
        <f>COUNTIFS($G$5:$G$65,"1",$Q$5:$Q$65,"Elevada")</f>
        <v>4</v>
      </c>
      <c r="AP34" s="48" t="s">
        <v>29</v>
      </c>
      <c r="AQ34" s="49">
        <f>COUNTIFS($I$5:$I$65,"Blanco",$Q$5:$Q$65,"Elevada")</f>
        <v>0</v>
      </c>
      <c r="AR34" s="125" t="s">
        <v>119</v>
      </c>
      <c r="AS34" s="48" t="s">
        <v>4</v>
      </c>
      <c r="AT34" s="48">
        <f>COUNTIFS($D$5:$D$65,"1",$Q$5:$Q$65,"Alguna")</f>
        <v>4</v>
      </c>
      <c r="AU34" s="48" t="s">
        <v>7</v>
      </c>
      <c r="AV34" s="48">
        <f>COUNTIFS($G$5:$G$65,"1",$Q$5:$Q$65,"Alguna")</f>
        <v>0</v>
      </c>
      <c r="AW34" s="48" t="s">
        <v>29</v>
      </c>
      <c r="AX34" s="49">
        <f>COUNTIFS($I$5:$I$65,"Blanco",$Q$5:$Q$65,"Alguna")</f>
        <v>0</v>
      </c>
    </row>
    <row r="35" spans="1:50" x14ac:dyDescent="0.25">
      <c r="A35" s="3">
        <v>31</v>
      </c>
      <c r="B35" s="29">
        <v>42935</v>
      </c>
      <c r="C35" s="28" t="s">
        <v>23</v>
      </c>
      <c r="D35" s="28">
        <v>1</v>
      </c>
      <c r="E35" s="28"/>
      <c r="F35" s="28"/>
      <c r="G35" s="28"/>
      <c r="H35" s="28"/>
      <c r="I35" s="28"/>
      <c r="J35" s="33" t="s">
        <v>95</v>
      </c>
      <c r="K35" s="6" t="s">
        <v>97</v>
      </c>
      <c r="L35" s="28" t="s">
        <v>20</v>
      </c>
      <c r="M35" s="28" t="s">
        <v>20</v>
      </c>
      <c r="N35" s="28" t="s">
        <v>20</v>
      </c>
      <c r="O35" s="28" t="s">
        <v>25</v>
      </c>
      <c r="P35" s="28" t="s">
        <v>20</v>
      </c>
      <c r="Q35" s="28" t="s">
        <v>27</v>
      </c>
      <c r="R35" s="28" t="s">
        <v>20</v>
      </c>
      <c r="S35" s="28" t="s">
        <v>20</v>
      </c>
      <c r="U35" s="109"/>
      <c r="V35" s="9" t="s">
        <v>28</v>
      </c>
      <c r="W35" s="15">
        <f>+COUNTIF(Q5:Q65,"Alguna")</f>
        <v>10</v>
      </c>
      <c r="X35" s="126"/>
      <c r="Y35" s="6" t="s">
        <v>115</v>
      </c>
      <c r="Z35" s="51">
        <f>COUNTIFS($C$5:$C$65,"F",$Q$5:$Q$65,"Elevada")</f>
        <v>7</v>
      </c>
      <c r="AA35" s="126"/>
      <c r="AB35" s="6" t="s">
        <v>115</v>
      </c>
      <c r="AC35" s="51">
        <f>COUNTIFS($C$5:$C$65,"F",$Q$5:$Q$65,"Alguna")</f>
        <v>7</v>
      </c>
      <c r="AD35" s="126"/>
      <c r="AE35" s="6" t="s">
        <v>115</v>
      </c>
      <c r="AF35" s="51">
        <f>COUNTIFS($C$5:$C$65,"F",$Q$5:$Q$65,"Poca")</f>
        <v>4</v>
      </c>
      <c r="AG35" s="126"/>
      <c r="AH35" s="6" t="s">
        <v>115</v>
      </c>
      <c r="AI35" s="57">
        <f>COUNTIFS($C$5:$C$65,"F",$Q$5:$Q$65,"Ninguna")</f>
        <v>1</v>
      </c>
      <c r="AJ35" s="57"/>
      <c r="AK35" s="126"/>
      <c r="AL35" s="50" t="s">
        <v>5</v>
      </c>
      <c r="AM35" s="6">
        <f>COUNTIFS($E$5:$E$65,"1",$Q$5:$Q$65,"Elevada")</f>
        <v>4</v>
      </c>
      <c r="AN35" s="39" t="s">
        <v>8</v>
      </c>
      <c r="AO35" s="6">
        <f>COUNTIFS($H$5:$H$65,"1",$Q$5:$Q$65,"Elevada")</f>
        <v>2</v>
      </c>
      <c r="AP35" s="6"/>
      <c r="AQ35" s="51"/>
      <c r="AR35" s="126"/>
      <c r="AS35" s="6" t="s">
        <v>5</v>
      </c>
      <c r="AT35" s="6">
        <f>COUNTIFS($E$5:$E$65,"1",$Q$5:$Q$65,"Alguna")</f>
        <v>0</v>
      </c>
      <c r="AU35" s="39" t="s">
        <v>8</v>
      </c>
      <c r="AV35" s="6">
        <f>COUNTIFS($H$5:$H$65,"1",$Q$5:$Q$65,"Alguna")</f>
        <v>1</v>
      </c>
      <c r="AW35" s="6"/>
      <c r="AX35" s="51"/>
    </row>
    <row r="36" spans="1:50" ht="15.75" thickBot="1" x14ac:dyDescent="0.3">
      <c r="A36" s="3">
        <v>32</v>
      </c>
      <c r="B36" s="29">
        <v>42935</v>
      </c>
      <c r="C36" s="28" t="s">
        <v>30</v>
      </c>
      <c r="D36" s="28"/>
      <c r="E36" s="28"/>
      <c r="F36" s="28"/>
      <c r="G36" s="28"/>
      <c r="H36" s="28">
        <v>1</v>
      </c>
      <c r="I36" s="28"/>
      <c r="J36" s="33" t="s">
        <v>95</v>
      </c>
      <c r="K36" s="6" t="s">
        <v>97</v>
      </c>
      <c r="L36" s="28" t="s">
        <v>20</v>
      </c>
      <c r="M36" s="28" t="s">
        <v>20</v>
      </c>
      <c r="N36" s="28" t="s">
        <v>20</v>
      </c>
      <c r="O36" s="28" t="s">
        <v>20</v>
      </c>
      <c r="P36" s="28" t="s">
        <v>25</v>
      </c>
      <c r="Q36" s="28" t="s">
        <v>27</v>
      </c>
      <c r="R36" s="28" t="s">
        <v>20</v>
      </c>
      <c r="S36" s="28" t="s">
        <v>20</v>
      </c>
      <c r="U36" s="109"/>
      <c r="V36" s="9" t="s">
        <v>26</v>
      </c>
      <c r="W36" s="15">
        <f>+COUNTIF(Q5:Q65,"Poca")</f>
        <v>6</v>
      </c>
      <c r="X36" s="127"/>
      <c r="Y36" s="26" t="s">
        <v>29</v>
      </c>
      <c r="Z36" s="52">
        <f>COUNTIFS($C$5:$C$65,"Blanco",Q8:Q68,"Elevada")</f>
        <v>0</v>
      </c>
      <c r="AA36" s="127"/>
      <c r="AB36" s="26" t="s">
        <v>29</v>
      </c>
      <c r="AC36" s="52">
        <f>COUNTIFS($C$5:$C$65,"Blanco",$Q$5:$Q$65,"Alguna")</f>
        <v>0</v>
      </c>
      <c r="AD36" s="127"/>
      <c r="AE36" s="26" t="s">
        <v>29</v>
      </c>
      <c r="AF36" s="52">
        <f>COUNTIFS($C$5:$C$65,"Blanco",$Q$5:$Q$65,"Poca")</f>
        <v>0</v>
      </c>
      <c r="AG36" s="127"/>
      <c r="AH36" s="26" t="s">
        <v>29</v>
      </c>
      <c r="AI36" s="58">
        <f>COUNTIFS($C$5:$C$65,"Blanco",$Q$5:$Q$65,"Ninguna")</f>
        <v>0</v>
      </c>
      <c r="AJ36" s="58"/>
      <c r="AK36" s="127"/>
      <c r="AL36" s="59" t="s">
        <v>6</v>
      </c>
      <c r="AM36" s="26">
        <f>COUNTIFS($F$5:$F$65,"1",$Q$5:$Q$65,"Elevada")</f>
        <v>2</v>
      </c>
      <c r="AN36" s="26" t="s">
        <v>9</v>
      </c>
      <c r="AO36" s="26">
        <f>COUNTIFS($I$5:$I$65,"1",$Q$5:$Q$65,"Elevada")</f>
        <v>2</v>
      </c>
      <c r="AP36" s="26"/>
      <c r="AQ36" s="52"/>
      <c r="AR36" s="127"/>
      <c r="AS36" s="26" t="s">
        <v>6</v>
      </c>
      <c r="AT36" s="26">
        <f>COUNTIFS($F$5:$F$65,"1",$Q$5:$Q$65,"Alguna")</f>
        <v>4</v>
      </c>
      <c r="AU36" s="26" t="s">
        <v>9</v>
      </c>
      <c r="AV36" s="26">
        <f>COUNTIFS($I$5:$I$65,"1",$Q$5:$Q$65,"Alguna")</f>
        <v>1</v>
      </c>
      <c r="AW36" s="26"/>
      <c r="AX36" s="52"/>
    </row>
    <row r="37" spans="1:50" ht="15.75" thickBot="1" x14ac:dyDescent="0.3">
      <c r="A37" s="3">
        <v>33</v>
      </c>
      <c r="B37" s="29">
        <v>42935</v>
      </c>
      <c r="C37" s="28" t="s">
        <v>23</v>
      </c>
      <c r="D37" s="28"/>
      <c r="E37" s="28"/>
      <c r="F37" s="28">
        <v>1</v>
      </c>
      <c r="G37" s="28"/>
      <c r="H37" s="28"/>
      <c r="I37" s="28"/>
      <c r="J37" s="33" t="s">
        <v>95</v>
      </c>
      <c r="K37" s="6" t="s">
        <v>97</v>
      </c>
      <c r="L37" s="28" t="s">
        <v>20</v>
      </c>
      <c r="M37" s="28" t="s">
        <v>25</v>
      </c>
      <c r="N37" s="28" t="s">
        <v>25</v>
      </c>
      <c r="O37" s="28" t="s">
        <v>25</v>
      </c>
      <c r="P37" s="28" t="s">
        <v>25</v>
      </c>
      <c r="Q37" s="28" t="s">
        <v>28</v>
      </c>
      <c r="R37" s="28" t="s">
        <v>25</v>
      </c>
      <c r="S37" s="28" t="s">
        <v>20</v>
      </c>
      <c r="U37" s="110"/>
      <c r="V37" s="13" t="s">
        <v>34</v>
      </c>
      <c r="W37" s="16">
        <f>+COUNTIF(Q5:Q65,"Ninguna")</f>
        <v>1</v>
      </c>
      <c r="X37" s="47"/>
      <c r="Y37" s="60"/>
      <c r="Z37" s="62"/>
      <c r="AA37" s="63"/>
      <c r="AB37" s="60"/>
      <c r="AC37" s="64"/>
      <c r="AD37" s="60"/>
      <c r="AE37" s="60"/>
      <c r="AG37" s="60"/>
      <c r="AH37" s="60"/>
      <c r="AI37" s="60"/>
      <c r="AJ37" s="60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</row>
    <row r="38" spans="1:50" x14ac:dyDescent="0.25">
      <c r="A38" s="3">
        <v>34</v>
      </c>
      <c r="B38" s="29">
        <v>42935</v>
      </c>
      <c r="C38" s="28" t="s">
        <v>30</v>
      </c>
      <c r="D38" s="28"/>
      <c r="E38" s="28">
        <v>1</v>
      </c>
      <c r="F38" s="28"/>
      <c r="G38" s="28"/>
      <c r="H38" s="28"/>
      <c r="I38" s="28"/>
      <c r="J38" s="33" t="s">
        <v>95</v>
      </c>
      <c r="K38" s="6" t="s">
        <v>97</v>
      </c>
      <c r="L38" s="28" t="s">
        <v>20</v>
      </c>
      <c r="M38" s="28" t="s">
        <v>20</v>
      </c>
      <c r="N38" s="28" t="s">
        <v>20</v>
      </c>
      <c r="O38" s="28" t="s">
        <v>25</v>
      </c>
      <c r="P38" s="28" t="s">
        <v>20</v>
      </c>
      <c r="Q38" s="28" t="s">
        <v>27</v>
      </c>
      <c r="R38" s="28" t="s">
        <v>20</v>
      </c>
      <c r="S38" s="28" t="s">
        <v>20</v>
      </c>
      <c r="U38" s="137" t="s">
        <v>42</v>
      </c>
      <c r="V38" s="12" t="s">
        <v>20</v>
      </c>
      <c r="W38" s="14">
        <f>+COUNTIF(R5:R65,"Si")</f>
        <v>14</v>
      </c>
      <c r="X38" s="125" t="s">
        <v>118</v>
      </c>
      <c r="Y38" s="48" t="s">
        <v>114</v>
      </c>
      <c r="Z38" s="49">
        <f>COUNTIFS($C$5:$C$65,"M",$R$5:$R$65,"Si")</f>
        <v>8</v>
      </c>
      <c r="AA38" s="125" t="s">
        <v>117</v>
      </c>
      <c r="AB38" s="48" t="s">
        <v>114</v>
      </c>
      <c r="AC38" s="55">
        <f>COUNTIFS($C$5:$C$65,"M",$R$5:$R$65,"No")</f>
        <v>8</v>
      </c>
      <c r="AD38" s="125" t="s">
        <v>118</v>
      </c>
      <c r="AE38" s="48" t="s">
        <v>4</v>
      </c>
      <c r="AF38" s="48">
        <f>COUNTIFS($D$5:$D$65,"1",$R$5:$R$65,"Si")</f>
        <v>3</v>
      </c>
      <c r="AG38" s="48" t="s">
        <v>7</v>
      </c>
      <c r="AH38" s="48">
        <f>COUNTIFS($G$5:$G$65,"1",$R$5:$R$65,"Si")</f>
        <v>4</v>
      </c>
      <c r="AI38" s="48" t="s">
        <v>29</v>
      </c>
      <c r="AJ38" s="49">
        <f>COUNTIFS($I$5:$I$65,"Blanco",$R$5:$R$65,"Si")</f>
        <v>0</v>
      </c>
      <c r="AK38" s="50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x14ac:dyDescent="0.25">
      <c r="A39" s="3">
        <v>35</v>
      </c>
      <c r="B39" s="29">
        <v>42935</v>
      </c>
      <c r="C39" s="28" t="s">
        <v>30</v>
      </c>
      <c r="D39" s="28"/>
      <c r="E39" s="28"/>
      <c r="F39" s="28">
        <v>1</v>
      </c>
      <c r="G39" s="28"/>
      <c r="H39" s="28"/>
      <c r="I39" s="28"/>
      <c r="J39" s="33" t="s">
        <v>95</v>
      </c>
      <c r="K39" s="6" t="s">
        <v>97</v>
      </c>
      <c r="L39" s="28" t="s">
        <v>20</v>
      </c>
      <c r="M39" s="28" t="s">
        <v>20</v>
      </c>
      <c r="N39" s="28" t="s">
        <v>25</v>
      </c>
      <c r="O39" s="28" t="s">
        <v>25</v>
      </c>
      <c r="P39" s="28" t="s">
        <v>20</v>
      </c>
      <c r="Q39" s="28" t="s">
        <v>27</v>
      </c>
      <c r="R39" s="28" t="s">
        <v>20</v>
      </c>
      <c r="S39" s="28" t="s">
        <v>20</v>
      </c>
      <c r="U39" s="109"/>
      <c r="V39" s="9" t="s">
        <v>25</v>
      </c>
      <c r="W39" s="15">
        <f>+COUNTIF(R5:R65,"No")</f>
        <v>21</v>
      </c>
      <c r="X39" s="126"/>
      <c r="Y39" s="6" t="s">
        <v>115</v>
      </c>
      <c r="Z39" s="51">
        <f>COUNTIFS($C$5:$C$65,"F",$R$5:$R$65,"Si")</f>
        <v>6</v>
      </c>
      <c r="AA39" s="126"/>
      <c r="AB39" s="6" t="s">
        <v>115</v>
      </c>
      <c r="AC39" s="57">
        <f>COUNTIFS($C$5:$C$65,"F",$R$5:$R$65,"No")</f>
        <v>13</v>
      </c>
      <c r="AD39" s="126"/>
      <c r="AE39" s="6" t="s">
        <v>5</v>
      </c>
      <c r="AF39" s="6">
        <f>COUNTIFS($E$5:$E$65,"1",$R$5:$R$65,"Si")</f>
        <v>3</v>
      </c>
      <c r="AG39" s="39" t="s">
        <v>8</v>
      </c>
      <c r="AH39" s="6">
        <f>COUNTIFS($H$5:$H$65,"1",$R$5:$R$65,"Si")</f>
        <v>1</v>
      </c>
      <c r="AI39" s="6"/>
      <c r="AJ39" s="51"/>
      <c r="AK39" s="50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5.75" thickBot="1" x14ac:dyDescent="0.3">
      <c r="A40" s="3">
        <v>36</v>
      </c>
      <c r="C40" s="31"/>
      <c r="D40" s="28"/>
      <c r="E40" s="28"/>
      <c r="F40" s="28"/>
      <c r="G40" s="28"/>
      <c r="H40" s="28"/>
      <c r="I40" s="28"/>
      <c r="J40" s="33"/>
      <c r="K40" s="28"/>
      <c r="L40" s="31"/>
      <c r="M40" s="31"/>
      <c r="N40" s="31"/>
      <c r="O40" s="31"/>
      <c r="P40" s="31"/>
      <c r="Q40" s="31"/>
      <c r="R40" s="31"/>
      <c r="S40" s="31"/>
      <c r="U40" s="110"/>
      <c r="V40" s="13" t="s">
        <v>29</v>
      </c>
      <c r="W40" s="16">
        <f>+COUNTIF(R5:R65,"Blanco")</f>
        <v>0</v>
      </c>
      <c r="X40" s="127"/>
      <c r="Y40" s="26" t="s">
        <v>29</v>
      </c>
      <c r="Z40" s="52">
        <f>COUNTIFS($C$5:$C$65,"Blanco",$R$5:$R$65,"Si")</f>
        <v>0</v>
      </c>
      <c r="AA40" s="127"/>
      <c r="AB40" s="26" t="s">
        <v>29</v>
      </c>
      <c r="AC40" s="58">
        <f>COUNTIFS($C$5:$C$65,"Blanco",$R$5:$R$65,"No")</f>
        <v>0</v>
      </c>
      <c r="AD40" s="127"/>
      <c r="AE40" s="26" t="s">
        <v>6</v>
      </c>
      <c r="AF40" s="26">
        <f>COUNTIFS($F$5:$F$65,"1",$R$5:$R$65,"Si")</f>
        <v>2</v>
      </c>
      <c r="AG40" s="26" t="s">
        <v>9</v>
      </c>
      <c r="AH40" s="26">
        <f>COUNTIFS($I$5:$I$65,"1",$R$5:$R$65,"Si")</f>
        <v>1</v>
      </c>
      <c r="AI40" s="26"/>
      <c r="AJ40" s="52"/>
      <c r="AK40" s="50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x14ac:dyDescent="0.25">
      <c r="A41" s="3">
        <v>37</v>
      </c>
      <c r="B41" s="29"/>
      <c r="C41" s="31"/>
      <c r="D41" s="28"/>
      <c r="E41" s="28"/>
      <c r="F41" s="28"/>
      <c r="G41" s="28"/>
      <c r="H41" s="28"/>
      <c r="I41" s="28"/>
      <c r="J41" s="33"/>
      <c r="K41" s="28"/>
      <c r="L41" s="31"/>
      <c r="M41" s="31"/>
      <c r="N41" s="31"/>
      <c r="O41" s="31"/>
      <c r="P41" s="31"/>
      <c r="Q41" s="31"/>
      <c r="R41" s="31"/>
      <c r="S41" s="31"/>
      <c r="U41" s="137" t="s">
        <v>43</v>
      </c>
      <c r="V41" s="12" t="s">
        <v>20</v>
      </c>
      <c r="W41" s="14">
        <f>+COUNTIF(S5:S65,"Si")</f>
        <v>23</v>
      </c>
      <c r="X41" s="125" t="s">
        <v>118</v>
      </c>
      <c r="Y41" s="48" t="s">
        <v>114</v>
      </c>
      <c r="Z41" s="49">
        <f>COUNTIFS($C$5:$C$65,"M",$S$5:$S$65,"Si")</f>
        <v>12</v>
      </c>
      <c r="AA41" s="125" t="s">
        <v>117</v>
      </c>
      <c r="AB41" s="48" t="s">
        <v>114</v>
      </c>
      <c r="AC41" s="55">
        <f>COUNTIFS($C$5:$C$65,"M",$S$5:$S$65,"No")</f>
        <v>4</v>
      </c>
      <c r="AD41" s="125" t="s">
        <v>118</v>
      </c>
      <c r="AE41" s="48" t="s">
        <v>4</v>
      </c>
      <c r="AF41" s="48">
        <f>COUNTIFS($D$5:$D$65,"1",$S$5:$S$65,"Si")</f>
        <v>6</v>
      </c>
      <c r="AG41" s="48" t="s">
        <v>7</v>
      </c>
      <c r="AH41" s="48">
        <f>COUNTIFS($G$5:$G$65,"1",$S$5:$S$65,"Si")</f>
        <v>4</v>
      </c>
      <c r="AI41" s="48" t="s">
        <v>29</v>
      </c>
      <c r="AJ41" s="49">
        <f>COUNTIFS($I$5:$I$65,"Blanco",$S$5:$S$65,"Si")</f>
        <v>0</v>
      </c>
      <c r="AK41" s="50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x14ac:dyDescent="0.25">
      <c r="A42" s="3">
        <v>38</v>
      </c>
      <c r="B42" s="29"/>
      <c r="C42" s="28"/>
      <c r="D42" s="28"/>
      <c r="E42" s="28"/>
      <c r="F42" s="28"/>
      <c r="G42" s="28"/>
      <c r="H42" s="28"/>
      <c r="I42" s="28"/>
      <c r="J42" s="33"/>
      <c r="K42" s="28"/>
      <c r="L42" s="28"/>
      <c r="M42" s="28"/>
      <c r="N42" s="28"/>
      <c r="O42" s="28"/>
      <c r="P42" s="28"/>
      <c r="Q42" s="28"/>
      <c r="R42" s="28"/>
      <c r="S42" s="28"/>
      <c r="U42" s="109"/>
      <c r="V42" s="9" t="s">
        <v>25</v>
      </c>
      <c r="W42" s="15">
        <f>+COUNTIF(S5:S65,"No")</f>
        <v>12</v>
      </c>
      <c r="X42" s="126"/>
      <c r="Y42" s="6" t="s">
        <v>115</v>
      </c>
      <c r="Z42" s="51">
        <f>COUNTIFS($C$5:$C$65,"F",$S$5:$S$65,"Si")</f>
        <v>11</v>
      </c>
      <c r="AA42" s="126"/>
      <c r="AB42" s="6" t="s">
        <v>115</v>
      </c>
      <c r="AC42" s="57">
        <f>COUNTIFS($C$5:$C$65,"F",$S$5:$S$65,"No")</f>
        <v>8</v>
      </c>
      <c r="AD42" s="126"/>
      <c r="AE42" s="6" t="s">
        <v>5</v>
      </c>
      <c r="AF42" s="6">
        <f>COUNTIFS($E$5:$E$65,"1",$S$6:$S$66,"Si")</f>
        <v>5</v>
      </c>
      <c r="AG42" s="39" t="s">
        <v>8</v>
      </c>
      <c r="AH42" s="6">
        <f>COUNTIFS($H$5:$H$65,"1",$S$5:$S$65,"Si")</f>
        <v>3</v>
      </c>
      <c r="AI42" s="6"/>
      <c r="AJ42" s="51"/>
      <c r="AK42" s="50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5.75" thickBot="1" x14ac:dyDescent="0.3">
      <c r="A43" s="3">
        <v>39</v>
      </c>
      <c r="B43" s="29"/>
      <c r="C43" s="28"/>
      <c r="D43" s="28"/>
      <c r="E43" s="28"/>
      <c r="F43" s="28"/>
      <c r="G43" s="28"/>
      <c r="H43" s="28"/>
      <c r="I43" s="28"/>
      <c r="J43" s="33"/>
      <c r="K43" s="28"/>
      <c r="L43" s="28"/>
      <c r="M43" s="28"/>
      <c r="N43" s="28"/>
      <c r="O43" s="28"/>
      <c r="P43" s="28"/>
      <c r="Q43" s="28"/>
      <c r="R43" s="28"/>
      <c r="S43" s="28"/>
      <c r="U43" s="110"/>
      <c r="V43" s="13" t="s">
        <v>29</v>
      </c>
      <c r="W43" s="16">
        <f>+COUNTIF(S5:S65,"Blanco")</f>
        <v>0</v>
      </c>
      <c r="X43" s="127"/>
      <c r="Y43" s="26" t="s">
        <v>29</v>
      </c>
      <c r="Z43" s="52">
        <f>COUNTIFS($C$5:$C$65,"Blanco",$S$5:$S$65,"Si")</f>
        <v>0</v>
      </c>
      <c r="AA43" s="127"/>
      <c r="AB43" s="26" t="s">
        <v>29</v>
      </c>
      <c r="AC43" s="58">
        <f>COUNTIFS($C$5:$C$65,"Blanco",$S$5:$S$65,"No")</f>
        <v>0</v>
      </c>
      <c r="AD43" s="127"/>
      <c r="AE43" s="26" t="s">
        <v>6</v>
      </c>
      <c r="AF43" s="26">
        <f>COUNTIFS($F$5:$F$65,"1",$S$5:$S$65,"Si")</f>
        <v>4</v>
      </c>
      <c r="AG43" s="26" t="s">
        <v>9</v>
      </c>
      <c r="AH43" s="26">
        <f>COUNTIFS($I$5:$I$65,"1",$S$5:$S$65,"Si")</f>
        <v>3</v>
      </c>
      <c r="AI43" s="26"/>
      <c r="AJ43" s="52"/>
      <c r="AK43" s="50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x14ac:dyDescent="0.25">
      <c r="A44" s="3">
        <v>40</v>
      </c>
      <c r="B44" s="29"/>
      <c r="C44" s="28"/>
      <c r="D44" s="28"/>
      <c r="E44" s="28"/>
      <c r="F44" s="28"/>
      <c r="G44" s="28"/>
      <c r="H44" s="28"/>
      <c r="I44" s="28"/>
      <c r="J44" s="33"/>
      <c r="K44" s="28"/>
      <c r="L44" s="28"/>
      <c r="M44" s="28"/>
      <c r="N44" s="28"/>
      <c r="O44" s="28"/>
      <c r="P44" s="28"/>
      <c r="Q44" s="28"/>
      <c r="R44" s="28"/>
      <c r="S44" s="28"/>
    </row>
    <row r="45" spans="1:50" x14ac:dyDescent="0.25">
      <c r="A45" s="3">
        <v>41</v>
      </c>
      <c r="B45" s="29"/>
      <c r="C45" s="28"/>
      <c r="D45" s="28"/>
      <c r="E45" s="28"/>
      <c r="F45" s="28"/>
      <c r="G45" s="28"/>
      <c r="H45" s="28"/>
      <c r="I45" s="28"/>
      <c r="J45" s="33"/>
      <c r="K45" s="28"/>
      <c r="L45" s="28"/>
      <c r="M45" s="28"/>
      <c r="N45" s="28"/>
      <c r="O45" s="28"/>
      <c r="P45" s="28"/>
      <c r="Q45" s="28"/>
      <c r="R45" s="28"/>
      <c r="S45" s="28"/>
    </row>
    <row r="46" spans="1:50" x14ac:dyDescent="0.25">
      <c r="A46" s="3">
        <v>42</v>
      </c>
      <c r="B46" s="29"/>
      <c r="C46" s="28"/>
      <c r="D46" s="28"/>
      <c r="E46" s="28"/>
      <c r="F46" s="28"/>
      <c r="G46" s="28"/>
      <c r="H46" s="28"/>
      <c r="I46" s="28"/>
      <c r="J46" s="33"/>
      <c r="K46" s="28"/>
      <c r="L46" s="28"/>
      <c r="M46" s="28"/>
      <c r="N46" s="28"/>
      <c r="O46" s="28"/>
      <c r="P46" s="28"/>
      <c r="Q46" s="28"/>
      <c r="R46" s="28"/>
      <c r="S46" s="28"/>
    </row>
    <row r="47" spans="1:50" x14ac:dyDescent="0.25">
      <c r="A47" s="3">
        <v>43</v>
      </c>
      <c r="B47" s="29"/>
      <c r="C47" s="28"/>
      <c r="D47" s="28"/>
      <c r="E47" s="28"/>
      <c r="F47" s="28"/>
      <c r="G47" s="28"/>
      <c r="H47" s="28"/>
      <c r="I47" s="28"/>
      <c r="J47" s="33"/>
      <c r="K47" s="28"/>
      <c r="L47" s="28"/>
      <c r="M47" s="28"/>
      <c r="N47" s="28"/>
      <c r="O47" s="28"/>
      <c r="P47" s="28"/>
      <c r="Q47" s="28"/>
      <c r="R47" s="28"/>
      <c r="S47" s="28"/>
    </row>
    <row r="48" spans="1:50" x14ac:dyDescent="0.25">
      <c r="A48" s="3">
        <v>44</v>
      </c>
      <c r="B48" s="29"/>
      <c r="C48" s="28"/>
      <c r="D48" s="28"/>
      <c r="E48" s="28"/>
      <c r="F48" s="28"/>
      <c r="G48" s="28"/>
      <c r="H48" s="28"/>
      <c r="I48" s="28"/>
      <c r="J48" s="33"/>
      <c r="K48" s="28"/>
      <c r="L48" s="28"/>
      <c r="M48" s="28"/>
      <c r="N48" s="28"/>
      <c r="O48" s="28"/>
      <c r="P48" s="28"/>
      <c r="Q48" s="28"/>
      <c r="R48" s="28"/>
      <c r="S48" s="28"/>
    </row>
    <row r="49" spans="1:19" x14ac:dyDescent="0.25">
      <c r="A49" s="3">
        <v>45</v>
      </c>
      <c r="B49" s="29"/>
      <c r="C49" s="28"/>
      <c r="D49" s="28"/>
      <c r="E49" s="28"/>
      <c r="F49" s="28"/>
      <c r="G49" s="28"/>
      <c r="H49" s="28"/>
      <c r="I49" s="28"/>
      <c r="J49" s="33"/>
      <c r="K49" s="28"/>
      <c r="L49" s="28"/>
      <c r="M49" s="28"/>
      <c r="N49" s="28"/>
      <c r="O49" s="28"/>
      <c r="P49" s="28"/>
      <c r="Q49" s="28"/>
      <c r="R49" s="28"/>
      <c r="S49" s="28"/>
    </row>
    <row r="50" spans="1:19" x14ac:dyDescent="0.25">
      <c r="A50" s="3">
        <v>46</v>
      </c>
      <c r="B50" s="29"/>
      <c r="C50" s="28"/>
      <c r="D50" s="28"/>
      <c r="E50" s="28"/>
      <c r="F50" s="28"/>
      <c r="G50" s="28"/>
      <c r="H50" s="28"/>
      <c r="I50" s="28"/>
      <c r="J50" s="33"/>
      <c r="K50" s="28"/>
      <c r="L50" s="28"/>
      <c r="M50" s="28"/>
      <c r="N50" s="28"/>
      <c r="O50" s="28"/>
      <c r="P50" s="28"/>
      <c r="Q50" s="28"/>
      <c r="R50" s="28"/>
      <c r="S50" s="28"/>
    </row>
    <row r="51" spans="1:19" x14ac:dyDescent="0.25">
      <c r="A51" s="3">
        <v>47</v>
      </c>
      <c r="B51" s="29"/>
      <c r="C51" s="28"/>
      <c r="D51" s="28"/>
      <c r="E51" s="28"/>
      <c r="F51" s="28"/>
      <c r="G51" s="28"/>
      <c r="H51" s="28"/>
      <c r="I51" s="28"/>
      <c r="J51" s="33"/>
      <c r="K51" s="28"/>
      <c r="L51" s="28"/>
      <c r="M51" s="28"/>
      <c r="N51" s="28"/>
      <c r="O51" s="28"/>
      <c r="P51" s="28"/>
      <c r="Q51" s="28"/>
      <c r="R51" s="28"/>
      <c r="S51" s="28"/>
    </row>
    <row r="52" spans="1:19" x14ac:dyDescent="0.25">
      <c r="A52" s="3">
        <v>48</v>
      </c>
      <c r="B52" s="29"/>
      <c r="C52" s="28"/>
      <c r="D52" s="28"/>
      <c r="E52" s="28"/>
      <c r="F52" s="28"/>
      <c r="G52" s="28"/>
      <c r="H52" s="28"/>
      <c r="I52" s="28"/>
      <c r="J52" s="33"/>
      <c r="K52" s="28"/>
      <c r="L52" s="28"/>
      <c r="M52" s="28"/>
      <c r="N52" s="28"/>
      <c r="O52" s="28"/>
      <c r="P52" s="28"/>
      <c r="Q52" s="28"/>
      <c r="R52" s="28"/>
      <c r="S52" s="28"/>
    </row>
    <row r="53" spans="1:19" x14ac:dyDescent="0.25">
      <c r="A53" s="3">
        <v>49</v>
      </c>
      <c r="B53" s="29"/>
      <c r="C53" s="28"/>
      <c r="D53" s="28"/>
      <c r="E53" s="28"/>
      <c r="F53" s="28"/>
      <c r="G53" s="28"/>
      <c r="H53" s="28"/>
      <c r="I53" s="28"/>
      <c r="J53" s="33"/>
      <c r="K53" s="28"/>
      <c r="L53" s="28"/>
      <c r="M53" s="28"/>
      <c r="N53" s="28"/>
      <c r="O53" s="28"/>
      <c r="P53" s="28"/>
      <c r="Q53" s="28"/>
      <c r="R53" s="28"/>
      <c r="S53" s="28"/>
    </row>
    <row r="54" spans="1:19" x14ac:dyDescent="0.25">
      <c r="A54" s="3">
        <v>50</v>
      </c>
      <c r="B54" s="29"/>
      <c r="C54" s="28"/>
      <c r="D54" s="28"/>
      <c r="E54" s="28"/>
      <c r="F54" s="28"/>
      <c r="G54" s="28"/>
      <c r="H54" s="28"/>
      <c r="I54" s="28"/>
      <c r="J54" s="33"/>
      <c r="K54" s="28"/>
      <c r="L54" s="28"/>
      <c r="M54" s="28"/>
      <c r="N54" s="28"/>
      <c r="O54" s="28"/>
      <c r="P54" s="28"/>
      <c r="Q54" s="28"/>
      <c r="R54" s="28"/>
      <c r="S54" s="28"/>
    </row>
    <row r="55" spans="1:19" x14ac:dyDescent="0.25">
      <c r="A55" s="3">
        <v>51</v>
      </c>
      <c r="B55" s="29"/>
      <c r="C55" s="28"/>
      <c r="D55" s="28"/>
      <c r="E55" s="28"/>
      <c r="F55" s="28"/>
      <c r="G55" s="28"/>
      <c r="H55" s="28"/>
      <c r="I55" s="28"/>
      <c r="J55" s="33"/>
      <c r="K55" s="28"/>
      <c r="L55" s="28"/>
      <c r="M55" s="28"/>
      <c r="N55" s="28"/>
      <c r="O55" s="28"/>
      <c r="P55" s="28"/>
      <c r="Q55" s="28"/>
      <c r="R55" s="28"/>
      <c r="S55" s="28"/>
    </row>
    <row r="56" spans="1:19" x14ac:dyDescent="0.25">
      <c r="A56" s="3">
        <v>52</v>
      </c>
      <c r="B56" s="29"/>
      <c r="C56" s="28"/>
      <c r="D56" s="28"/>
      <c r="E56" s="28"/>
      <c r="F56" s="28"/>
      <c r="G56" s="28"/>
      <c r="H56" s="28"/>
      <c r="I56" s="28"/>
      <c r="J56" s="33"/>
      <c r="K56" s="28"/>
      <c r="L56" s="28"/>
      <c r="M56" s="28"/>
      <c r="N56" s="28"/>
      <c r="O56" s="28"/>
      <c r="P56" s="28"/>
      <c r="Q56" s="28"/>
      <c r="R56" s="28"/>
      <c r="S56" s="28"/>
    </row>
    <row r="57" spans="1:19" x14ac:dyDescent="0.25">
      <c r="A57" s="3">
        <v>53</v>
      </c>
      <c r="B57" s="29"/>
      <c r="C57" s="28"/>
      <c r="D57" s="28"/>
      <c r="E57" s="28"/>
      <c r="F57" s="28"/>
      <c r="G57" s="28"/>
      <c r="H57" s="28"/>
      <c r="I57" s="28"/>
      <c r="J57" s="33"/>
      <c r="K57" s="28"/>
      <c r="L57" s="28"/>
      <c r="M57" s="28"/>
      <c r="N57" s="28"/>
      <c r="O57" s="28"/>
      <c r="P57" s="28"/>
      <c r="Q57" s="28"/>
      <c r="R57" s="28"/>
      <c r="S57" s="28"/>
    </row>
    <row r="58" spans="1:19" x14ac:dyDescent="0.25">
      <c r="A58" s="3">
        <v>54</v>
      </c>
      <c r="B58" s="29"/>
      <c r="C58" s="28"/>
      <c r="D58" s="28"/>
      <c r="E58" s="28"/>
      <c r="F58" s="28"/>
      <c r="G58" s="28"/>
      <c r="H58" s="28"/>
      <c r="I58" s="28"/>
      <c r="J58" s="33"/>
      <c r="K58" s="28"/>
      <c r="L58" s="28"/>
      <c r="M58" s="28"/>
      <c r="N58" s="28"/>
      <c r="O58" s="28"/>
      <c r="P58" s="28"/>
      <c r="Q58" s="28"/>
      <c r="R58" s="28"/>
      <c r="S58" s="28"/>
    </row>
    <row r="59" spans="1:19" x14ac:dyDescent="0.25">
      <c r="A59" s="3">
        <v>55</v>
      </c>
      <c r="B59" s="29"/>
      <c r="C59" s="28"/>
      <c r="D59" s="28"/>
      <c r="E59" s="28"/>
      <c r="F59" s="28"/>
      <c r="G59" s="28"/>
      <c r="H59" s="28"/>
      <c r="I59" s="28"/>
      <c r="J59" s="33"/>
      <c r="K59" s="28"/>
      <c r="L59" s="28"/>
      <c r="M59" s="28"/>
      <c r="N59" s="28"/>
      <c r="O59" s="28"/>
      <c r="P59" s="28"/>
      <c r="Q59" s="28"/>
      <c r="R59" s="28"/>
      <c r="S59" s="28"/>
    </row>
    <row r="60" spans="1:19" x14ac:dyDescent="0.25">
      <c r="A60" s="3">
        <v>56</v>
      </c>
      <c r="B60" s="29"/>
      <c r="C60" s="28"/>
      <c r="D60" s="28"/>
      <c r="E60" s="28"/>
      <c r="F60" s="28"/>
      <c r="G60" s="28"/>
      <c r="H60" s="28"/>
      <c r="I60" s="28"/>
      <c r="J60" s="33"/>
      <c r="K60" s="28"/>
      <c r="L60" s="28"/>
      <c r="M60" s="28"/>
      <c r="N60" s="28"/>
      <c r="O60" s="28"/>
      <c r="P60" s="28"/>
      <c r="Q60" s="28"/>
      <c r="R60" s="28"/>
      <c r="S60" s="28"/>
    </row>
    <row r="61" spans="1:19" x14ac:dyDescent="0.25">
      <c r="A61" s="3">
        <v>57</v>
      </c>
      <c r="B61" s="29"/>
      <c r="C61" s="28"/>
      <c r="D61" s="28"/>
      <c r="E61" s="28"/>
      <c r="F61" s="28"/>
      <c r="G61" s="28"/>
      <c r="H61" s="28"/>
      <c r="I61" s="28"/>
      <c r="J61" s="33"/>
      <c r="K61" s="28"/>
      <c r="L61" s="28"/>
      <c r="M61" s="28"/>
      <c r="N61" s="28"/>
      <c r="O61" s="28"/>
      <c r="P61" s="28"/>
      <c r="Q61" s="28"/>
      <c r="R61" s="28"/>
      <c r="S61" s="28"/>
    </row>
    <row r="62" spans="1:19" x14ac:dyDescent="0.25">
      <c r="A62" s="3">
        <v>58</v>
      </c>
      <c r="B62" s="29"/>
      <c r="C62" s="28"/>
      <c r="D62" s="28"/>
      <c r="E62" s="28"/>
      <c r="F62" s="28"/>
      <c r="G62" s="28"/>
      <c r="H62" s="28"/>
      <c r="I62" s="28"/>
      <c r="J62" s="33"/>
      <c r="K62" s="28"/>
      <c r="L62" s="28"/>
      <c r="M62" s="28"/>
      <c r="N62" s="28"/>
      <c r="O62" s="28"/>
      <c r="P62" s="28"/>
      <c r="Q62" s="28"/>
      <c r="R62" s="28"/>
      <c r="S62" s="28"/>
    </row>
    <row r="63" spans="1:19" x14ac:dyDescent="0.25">
      <c r="A63" s="3">
        <v>59</v>
      </c>
      <c r="B63" s="29"/>
      <c r="C63" s="28"/>
      <c r="D63" s="28"/>
      <c r="E63" s="28"/>
      <c r="F63" s="28"/>
      <c r="G63" s="28"/>
      <c r="H63" s="28"/>
      <c r="I63" s="28"/>
      <c r="J63" s="33"/>
      <c r="K63" s="28"/>
      <c r="L63" s="28"/>
      <c r="M63" s="28"/>
      <c r="N63" s="28"/>
      <c r="O63" s="28"/>
      <c r="P63" s="28"/>
      <c r="Q63" s="28"/>
      <c r="R63" s="28"/>
      <c r="S63" s="28"/>
    </row>
    <row r="64" spans="1:19" x14ac:dyDescent="0.25">
      <c r="A64" s="3">
        <v>60</v>
      </c>
      <c r="B64" s="29"/>
      <c r="C64" s="28"/>
      <c r="D64" s="28"/>
      <c r="E64" s="28"/>
      <c r="F64" s="28"/>
      <c r="G64" s="28"/>
      <c r="H64" s="28"/>
      <c r="I64" s="28"/>
      <c r="J64" s="33"/>
      <c r="K64" s="28"/>
      <c r="L64" s="28"/>
      <c r="M64" s="28"/>
      <c r="N64" s="28"/>
      <c r="O64" s="28"/>
      <c r="P64" s="28"/>
      <c r="Q64" s="28"/>
      <c r="R64" s="28"/>
      <c r="S64" s="28"/>
    </row>
    <row r="65" spans="1:19" x14ac:dyDescent="0.25">
      <c r="A65" s="3">
        <v>61</v>
      </c>
      <c r="B65" s="29"/>
      <c r="C65" s="28"/>
      <c r="D65" s="28"/>
      <c r="E65" s="28"/>
      <c r="F65" s="28"/>
      <c r="G65" s="28"/>
      <c r="H65" s="28"/>
      <c r="I65" s="28"/>
      <c r="J65" s="33"/>
      <c r="K65" s="28"/>
      <c r="L65" s="28"/>
      <c r="M65" s="28"/>
      <c r="N65" s="28"/>
      <c r="O65" s="28"/>
      <c r="P65" s="28"/>
      <c r="Q65" s="28"/>
      <c r="R65" s="28"/>
      <c r="S65" s="28"/>
    </row>
  </sheetData>
  <mergeCells count="58">
    <mergeCell ref="X41:X43"/>
    <mergeCell ref="AA41:AA43"/>
    <mergeCell ref="AD41:AD43"/>
    <mergeCell ref="AG34:AG36"/>
    <mergeCell ref="AK34:AK36"/>
    <mergeCell ref="AR34:AR36"/>
    <mergeCell ref="X38:X40"/>
    <mergeCell ref="AA38:AA40"/>
    <mergeCell ref="AD38:AD40"/>
    <mergeCell ref="X31:X33"/>
    <mergeCell ref="AA31:AA33"/>
    <mergeCell ref="AD31:AD33"/>
    <mergeCell ref="X34:X36"/>
    <mergeCell ref="AA34:AA36"/>
    <mergeCell ref="AD34:AD36"/>
    <mergeCell ref="X25:X27"/>
    <mergeCell ref="AA25:AA27"/>
    <mergeCell ref="AD25:AD27"/>
    <mergeCell ref="X28:X30"/>
    <mergeCell ref="AA28:AA30"/>
    <mergeCell ref="AD28:AD30"/>
    <mergeCell ref="X19:X21"/>
    <mergeCell ref="AA19:AA21"/>
    <mergeCell ref="AD19:AD21"/>
    <mergeCell ref="X22:X24"/>
    <mergeCell ref="AA22:AA24"/>
    <mergeCell ref="AD22:AD24"/>
    <mergeCell ref="A1:S1"/>
    <mergeCell ref="U1:W1"/>
    <mergeCell ref="A2:S2"/>
    <mergeCell ref="U2:V2"/>
    <mergeCell ref="A3:A4"/>
    <mergeCell ref="B3:B4"/>
    <mergeCell ref="C3:C4"/>
    <mergeCell ref="D3:I3"/>
    <mergeCell ref="J3:J4"/>
    <mergeCell ref="K3:K4"/>
    <mergeCell ref="U6:U12"/>
    <mergeCell ref="L3:L4"/>
    <mergeCell ref="M3:M4"/>
    <mergeCell ref="N3:N4"/>
    <mergeCell ref="O3:O4"/>
    <mergeCell ref="P3:P4"/>
    <mergeCell ref="Q3:Q4"/>
    <mergeCell ref="R3:R4"/>
    <mergeCell ref="S3:S4"/>
    <mergeCell ref="U3:V3"/>
    <mergeCell ref="U4:V4"/>
    <mergeCell ref="U5:V5"/>
    <mergeCell ref="U34:U37"/>
    <mergeCell ref="U38:U40"/>
    <mergeCell ref="U41:U43"/>
    <mergeCell ref="U13:U18"/>
    <mergeCell ref="U19:U21"/>
    <mergeCell ref="U22:U24"/>
    <mergeCell ref="U25:U27"/>
    <mergeCell ref="U28:U30"/>
    <mergeCell ref="U31:U33"/>
  </mergeCell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65"/>
  <sheetViews>
    <sheetView topLeftCell="V1" zoomScale="50" zoomScaleNormal="50" workbookViewId="0">
      <selection activeCell="AX34" sqref="AT34:AX36"/>
    </sheetView>
  </sheetViews>
  <sheetFormatPr baseColWidth="10" defaultRowHeight="15" x14ac:dyDescent="0.25"/>
  <cols>
    <col min="1" max="1" width="6.28515625" style="1" bestFit="1" customWidth="1"/>
    <col min="2" max="2" width="17.42578125" customWidth="1"/>
    <col min="4" max="4" width="9.7109375" bestFit="1" customWidth="1"/>
    <col min="5" max="5" width="10.140625" bestFit="1" customWidth="1"/>
    <col min="6" max="6" width="9.7109375" bestFit="1" customWidth="1"/>
    <col min="7" max="7" width="10.140625" bestFit="1" customWidth="1"/>
    <col min="8" max="8" width="9.7109375" bestFit="1" customWidth="1"/>
    <col min="9" max="9" width="14.140625" customWidth="1"/>
    <col min="10" max="10" width="20.140625" bestFit="1" customWidth="1"/>
    <col min="11" max="11" width="16" bestFit="1" customWidth="1"/>
    <col min="12" max="19" width="14.28515625" customWidth="1"/>
    <col min="21" max="21" width="48.42578125" style="7" customWidth="1"/>
    <col min="22" max="22" width="23.85546875" bestFit="1" customWidth="1"/>
    <col min="23" max="23" width="11.42578125" style="1"/>
  </cols>
  <sheetData>
    <row r="1" spans="1:23" ht="15.75" thickBot="1" x14ac:dyDescent="0.3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U1" s="144" t="s">
        <v>46</v>
      </c>
      <c r="V1" s="145"/>
      <c r="W1" s="148"/>
    </row>
    <row r="2" spans="1:23" ht="15.75" thickBot="1" x14ac:dyDescent="0.3">
      <c r="A2" s="123" t="s">
        <v>21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U2" s="144" t="s">
        <v>44</v>
      </c>
      <c r="V2" s="145"/>
      <c r="W2" s="17">
        <f>+COUNTIF(C5:C65,"M")</f>
        <v>14</v>
      </c>
    </row>
    <row r="3" spans="1:23" ht="15.75" customHeight="1" thickBot="1" x14ac:dyDescent="0.3">
      <c r="A3" s="149" t="s">
        <v>22</v>
      </c>
      <c r="B3" s="151" t="s">
        <v>2</v>
      </c>
      <c r="C3" s="149" t="s">
        <v>1</v>
      </c>
      <c r="D3" s="123" t="s">
        <v>3</v>
      </c>
      <c r="E3" s="123"/>
      <c r="F3" s="123"/>
      <c r="G3" s="123"/>
      <c r="H3" s="123"/>
      <c r="I3" s="123"/>
      <c r="J3" s="149" t="s">
        <v>11</v>
      </c>
      <c r="K3" s="149" t="s">
        <v>10</v>
      </c>
      <c r="L3" s="142" t="s">
        <v>12</v>
      </c>
      <c r="M3" s="142" t="s">
        <v>13</v>
      </c>
      <c r="N3" s="142" t="s">
        <v>14</v>
      </c>
      <c r="O3" s="142" t="s">
        <v>15</v>
      </c>
      <c r="P3" s="142" t="s">
        <v>16</v>
      </c>
      <c r="Q3" s="142" t="s">
        <v>17</v>
      </c>
      <c r="R3" s="142" t="s">
        <v>18</v>
      </c>
      <c r="S3" s="142" t="s">
        <v>19</v>
      </c>
      <c r="U3" s="144" t="s">
        <v>45</v>
      </c>
      <c r="V3" s="145"/>
      <c r="W3" s="17">
        <f>+COUNTIF(C5:C65,"F")</f>
        <v>22</v>
      </c>
    </row>
    <row r="4" spans="1:23" ht="15.75" customHeight="1" thickBot="1" x14ac:dyDescent="0.3">
      <c r="A4" s="150"/>
      <c r="B4" s="152"/>
      <c r="C4" s="150"/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150"/>
      <c r="K4" s="150"/>
      <c r="L4" s="143"/>
      <c r="M4" s="143"/>
      <c r="N4" s="143"/>
      <c r="O4" s="143"/>
      <c r="P4" s="143"/>
      <c r="Q4" s="143"/>
      <c r="R4" s="143"/>
      <c r="S4" s="143"/>
      <c r="U4" s="146" t="s">
        <v>29</v>
      </c>
      <c r="V4" s="147"/>
      <c r="W4" s="17">
        <f>+COUNTIF(C5:C65,"Blanco")</f>
        <v>0</v>
      </c>
    </row>
    <row r="5" spans="1:23" ht="15.75" thickBot="1" x14ac:dyDescent="0.3">
      <c r="A5" s="3">
        <v>1</v>
      </c>
      <c r="B5" s="29">
        <v>42929</v>
      </c>
      <c r="C5" s="28" t="s">
        <v>23</v>
      </c>
      <c r="D5" s="28"/>
      <c r="E5" s="28">
        <v>1</v>
      </c>
      <c r="F5" s="28"/>
      <c r="G5" s="28"/>
      <c r="H5" s="28"/>
      <c r="I5" s="28"/>
      <c r="J5" s="33" t="s">
        <v>101</v>
      </c>
      <c r="K5" s="33" t="s">
        <v>98</v>
      </c>
      <c r="L5" s="28" t="s">
        <v>20</v>
      </c>
      <c r="M5" s="28" t="s">
        <v>20</v>
      </c>
      <c r="N5" s="28" t="s">
        <v>25</v>
      </c>
      <c r="O5" s="28" t="s">
        <v>25</v>
      </c>
      <c r="P5" s="28" t="s">
        <v>25</v>
      </c>
      <c r="Q5" s="28" t="s">
        <v>27</v>
      </c>
      <c r="R5" s="28" t="s">
        <v>20</v>
      </c>
      <c r="S5" s="28" t="s">
        <v>20</v>
      </c>
      <c r="U5" s="146" t="s">
        <v>47</v>
      </c>
      <c r="V5" s="147"/>
      <c r="W5" s="18">
        <f>SUM(W2:W4)</f>
        <v>36</v>
      </c>
    </row>
    <row r="6" spans="1:23" x14ac:dyDescent="0.25">
      <c r="A6" s="3">
        <v>2</v>
      </c>
      <c r="B6" s="29">
        <v>42929</v>
      </c>
      <c r="C6" s="28" t="s">
        <v>30</v>
      </c>
      <c r="D6" s="28"/>
      <c r="E6" s="28"/>
      <c r="F6" s="28"/>
      <c r="G6" s="28"/>
      <c r="H6" s="28">
        <v>1</v>
      </c>
      <c r="I6" s="28"/>
      <c r="J6" s="33" t="s">
        <v>101</v>
      </c>
      <c r="K6" s="33" t="s">
        <v>98</v>
      </c>
      <c r="L6" s="28" t="s">
        <v>20</v>
      </c>
      <c r="M6" s="28" t="s">
        <v>25</v>
      </c>
      <c r="N6" s="28" t="s">
        <v>25</v>
      </c>
      <c r="O6" s="28" t="s">
        <v>25</v>
      </c>
      <c r="P6" s="28" t="s">
        <v>25</v>
      </c>
      <c r="Q6" s="28" t="s">
        <v>27</v>
      </c>
      <c r="R6" s="28" t="s">
        <v>20</v>
      </c>
      <c r="S6" s="28" t="s">
        <v>20</v>
      </c>
      <c r="U6" s="140" t="s">
        <v>3</v>
      </c>
      <c r="V6" s="11" t="s">
        <v>4</v>
      </c>
      <c r="W6" s="14">
        <f>+COUNTIF(D5:D65,"1")</f>
        <v>1</v>
      </c>
    </row>
    <row r="7" spans="1:23" x14ac:dyDescent="0.25">
      <c r="A7" s="3">
        <v>3</v>
      </c>
      <c r="B7" s="29">
        <v>42929</v>
      </c>
      <c r="C7" s="28" t="s">
        <v>23</v>
      </c>
      <c r="D7" s="28"/>
      <c r="E7" s="28">
        <v>1</v>
      </c>
      <c r="F7" s="28"/>
      <c r="G7" s="28"/>
      <c r="H7" s="28"/>
      <c r="I7" s="28"/>
      <c r="J7" s="33" t="s">
        <v>101</v>
      </c>
      <c r="K7" s="33" t="s">
        <v>98</v>
      </c>
      <c r="L7" s="28" t="s">
        <v>25</v>
      </c>
      <c r="M7" s="28" t="s">
        <v>25</v>
      </c>
      <c r="N7" s="28" t="s">
        <v>25</v>
      </c>
      <c r="O7" s="28" t="s">
        <v>25</v>
      </c>
      <c r="P7" s="28" t="s">
        <v>25</v>
      </c>
      <c r="Q7" s="28" t="s">
        <v>28</v>
      </c>
      <c r="R7" s="28" t="s">
        <v>25</v>
      </c>
      <c r="S7" s="28" t="s">
        <v>25</v>
      </c>
      <c r="U7" s="141"/>
      <c r="V7" s="8" t="s">
        <v>5</v>
      </c>
      <c r="W7" s="15">
        <f>+COUNTIF(E5:E65,"1")</f>
        <v>9</v>
      </c>
    </row>
    <row r="8" spans="1:23" x14ac:dyDescent="0.25">
      <c r="A8" s="3">
        <v>4</v>
      </c>
      <c r="B8" s="29">
        <v>42929</v>
      </c>
      <c r="C8" s="28" t="s">
        <v>30</v>
      </c>
      <c r="D8" s="28"/>
      <c r="E8" s="28"/>
      <c r="F8" s="28"/>
      <c r="G8" s="28">
        <v>1</v>
      </c>
      <c r="H8" s="28"/>
      <c r="I8" s="28"/>
      <c r="J8" s="33" t="s">
        <v>101</v>
      </c>
      <c r="K8" s="33" t="s">
        <v>98</v>
      </c>
      <c r="L8" s="28" t="s">
        <v>25</v>
      </c>
      <c r="M8" s="28" t="s">
        <v>25</v>
      </c>
      <c r="N8" s="28" t="s">
        <v>25</v>
      </c>
      <c r="O8" s="28" t="s">
        <v>25</v>
      </c>
      <c r="P8" s="28" t="s">
        <v>25</v>
      </c>
      <c r="Q8" s="28" t="s">
        <v>27</v>
      </c>
      <c r="R8" s="28" t="s">
        <v>25</v>
      </c>
      <c r="S8" s="28" t="s">
        <v>20</v>
      </c>
      <c r="T8" s="30"/>
      <c r="U8" s="141"/>
      <c r="V8" s="8" t="s">
        <v>6</v>
      </c>
      <c r="W8" s="15">
        <f>+COUNTIF(F5:F41,"1")</f>
        <v>12</v>
      </c>
    </row>
    <row r="9" spans="1:23" x14ac:dyDescent="0.25">
      <c r="A9" s="3">
        <v>5</v>
      </c>
      <c r="B9" s="29">
        <v>42929</v>
      </c>
      <c r="C9" s="28" t="s">
        <v>30</v>
      </c>
      <c r="D9" s="28"/>
      <c r="E9" s="28">
        <v>1</v>
      </c>
      <c r="F9" s="28"/>
      <c r="G9" s="28"/>
      <c r="H9" s="28"/>
      <c r="I9" s="28"/>
      <c r="J9" s="33" t="s">
        <v>101</v>
      </c>
      <c r="K9" s="33" t="s">
        <v>98</v>
      </c>
      <c r="L9" s="28" t="s">
        <v>20</v>
      </c>
      <c r="M9" s="28" t="s">
        <v>20</v>
      </c>
      <c r="N9" s="28" t="s">
        <v>25</v>
      </c>
      <c r="O9" s="28" t="s">
        <v>20</v>
      </c>
      <c r="P9" s="28" t="s">
        <v>25</v>
      </c>
      <c r="Q9" s="28" t="s">
        <v>28</v>
      </c>
      <c r="R9" s="28" t="s">
        <v>20</v>
      </c>
      <c r="S9" s="28" t="s">
        <v>25</v>
      </c>
      <c r="U9" s="141"/>
      <c r="V9" s="8" t="s">
        <v>7</v>
      </c>
      <c r="W9" s="15">
        <f>+COUNTIF(G5:G65,"1")</f>
        <v>5</v>
      </c>
    </row>
    <row r="10" spans="1:23" x14ac:dyDescent="0.25">
      <c r="A10" s="3">
        <v>6</v>
      </c>
      <c r="B10" s="29">
        <v>42929</v>
      </c>
      <c r="C10" s="28" t="s">
        <v>23</v>
      </c>
      <c r="D10" s="28"/>
      <c r="E10" s="28"/>
      <c r="F10" s="28"/>
      <c r="G10" s="28"/>
      <c r="H10" s="28">
        <v>1</v>
      </c>
      <c r="I10" s="28"/>
      <c r="J10" s="33" t="s">
        <v>101</v>
      </c>
      <c r="K10" s="33" t="s">
        <v>98</v>
      </c>
      <c r="L10" s="28" t="s">
        <v>25</v>
      </c>
      <c r="M10" s="28" t="s">
        <v>25</v>
      </c>
      <c r="N10" s="28" t="s">
        <v>25</v>
      </c>
      <c r="O10" s="28" t="s">
        <v>25</v>
      </c>
      <c r="P10" s="28" t="s">
        <v>25</v>
      </c>
      <c r="Q10" s="28" t="s">
        <v>26</v>
      </c>
      <c r="R10" s="28" t="s">
        <v>25</v>
      </c>
      <c r="S10" s="28" t="s">
        <v>25</v>
      </c>
      <c r="U10" s="141"/>
      <c r="V10" s="8" t="s">
        <v>8</v>
      </c>
      <c r="W10" s="15">
        <f>+COUNTIF(H5:H65,"1")</f>
        <v>6</v>
      </c>
    </row>
    <row r="11" spans="1:23" x14ac:dyDescent="0.25">
      <c r="A11" s="3">
        <v>7</v>
      </c>
      <c r="B11" s="29">
        <v>42929</v>
      </c>
      <c r="C11" s="28" t="s">
        <v>23</v>
      </c>
      <c r="D11" s="28"/>
      <c r="E11" s="28"/>
      <c r="F11" s="28">
        <v>1</v>
      </c>
      <c r="G11" s="28"/>
      <c r="H11" s="28"/>
      <c r="I11" s="28"/>
      <c r="J11" s="33" t="s">
        <v>101</v>
      </c>
      <c r="K11" s="33" t="s">
        <v>98</v>
      </c>
      <c r="L11" s="28" t="s">
        <v>25</v>
      </c>
      <c r="M11" s="28" t="s">
        <v>25</v>
      </c>
      <c r="N11" s="28" t="s">
        <v>25</v>
      </c>
      <c r="O11" s="28" t="s">
        <v>25</v>
      </c>
      <c r="P11" s="28" t="s">
        <v>25</v>
      </c>
      <c r="Q11" s="28" t="s">
        <v>34</v>
      </c>
      <c r="R11" s="28" t="s">
        <v>25</v>
      </c>
      <c r="S11" s="28" t="s">
        <v>20</v>
      </c>
      <c r="U11" s="141"/>
      <c r="V11" s="22" t="s">
        <v>9</v>
      </c>
      <c r="W11" s="23">
        <f>+COUNTIF(I5:I65,"1")</f>
        <v>3</v>
      </c>
    </row>
    <row r="12" spans="1:23" ht="15.75" thickBot="1" x14ac:dyDescent="0.3">
      <c r="A12" s="3">
        <v>8</v>
      </c>
      <c r="B12" s="29">
        <v>42929</v>
      </c>
      <c r="C12" s="28" t="s">
        <v>30</v>
      </c>
      <c r="D12" s="28"/>
      <c r="E12" s="28"/>
      <c r="F12" s="28">
        <v>1</v>
      </c>
      <c r="G12" s="28"/>
      <c r="H12" s="28"/>
      <c r="I12" s="28"/>
      <c r="J12" s="33" t="s">
        <v>101</v>
      </c>
      <c r="K12" s="33" t="s">
        <v>98</v>
      </c>
      <c r="L12" s="28" t="s">
        <v>25</v>
      </c>
      <c r="M12" s="28" t="s">
        <v>20</v>
      </c>
      <c r="N12" s="28" t="s">
        <v>25</v>
      </c>
      <c r="O12" s="28" t="s">
        <v>25</v>
      </c>
      <c r="P12" s="28" t="s">
        <v>25</v>
      </c>
      <c r="Q12" s="28" t="s">
        <v>28</v>
      </c>
      <c r="R12" s="28" t="s">
        <v>20</v>
      </c>
      <c r="S12" s="28" t="s">
        <v>20</v>
      </c>
      <c r="U12" s="141"/>
      <c r="V12" s="34" t="s">
        <v>29</v>
      </c>
      <c r="W12" s="23">
        <f>+COUNTIF(I5:I65,"Blanco")</f>
        <v>0</v>
      </c>
    </row>
    <row r="13" spans="1:23" x14ac:dyDescent="0.25">
      <c r="A13" s="3">
        <v>9</v>
      </c>
      <c r="B13" s="29">
        <v>42929</v>
      </c>
      <c r="C13" s="28" t="s">
        <v>23</v>
      </c>
      <c r="D13" s="28"/>
      <c r="E13" s="28">
        <v>1</v>
      </c>
      <c r="F13" s="28"/>
      <c r="G13" s="28"/>
      <c r="H13" s="28"/>
      <c r="I13" s="28"/>
      <c r="J13" s="33" t="s">
        <v>101</v>
      </c>
      <c r="K13" s="33" t="s">
        <v>98</v>
      </c>
      <c r="L13" s="28" t="s">
        <v>25</v>
      </c>
      <c r="M13" s="28" t="s">
        <v>25</v>
      </c>
      <c r="N13" s="28" t="s">
        <v>25</v>
      </c>
      <c r="O13" s="28" t="s">
        <v>25</v>
      </c>
      <c r="P13" s="28" t="s">
        <v>25</v>
      </c>
      <c r="Q13" s="28" t="s">
        <v>26</v>
      </c>
      <c r="R13" s="28" t="s">
        <v>25</v>
      </c>
      <c r="S13" s="28" t="s">
        <v>20</v>
      </c>
      <c r="U13" s="137" t="s">
        <v>35</v>
      </c>
      <c r="V13" s="19" t="s">
        <v>98</v>
      </c>
      <c r="W13" s="14">
        <f>+COUNTIF(K5:K65,"El Rosario")</f>
        <v>9</v>
      </c>
    </row>
    <row r="14" spans="1:23" x14ac:dyDescent="0.25">
      <c r="A14" s="3">
        <v>10</v>
      </c>
      <c r="B14" s="29">
        <v>42928</v>
      </c>
      <c r="C14" s="28" t="s">
        <v>30</v>
      </c>
      <c r="D14" s="28"/>
      <c r="E14" s="28"/>
      <c r="F14" s="28"/>
      <c r="G14" s="28">
        <v>1</v>
      </c>
      <c r="H14" s="28"/>
      <c r="I14" s="28"/>
      <c r="J14" s="33" t="s">
        <v>101</v>
      </c>
      <c r="K14" s="33" t="s">
        <v>99</v>
      </c>
      <c r="L14" s="28" t="s">
        <v>20</v>
      </c>
      <c r="M14" s="28" t="s">
        <v>20</v>
      </c>
      <c r="N14" s="28" t="s">
        <v>25</v>
      </c>
      <c r="O14" s="28" t="s">
        <v>29</v>
      </c>
      <c r="P14" s="28" t="s">
        <v>25</v>
      </c>
      <c r="Q14" s="28" t="s">
        <v>28</v>
      </c>
      <c r="R14" s="28" t="s">
        <v>20</v>
      </c>
      <c r="S14" s="28" t="s">
        <v>20</v>
      </c>
      <c r="U14" s="109"/>
      <c r="V14" s="6" t="s">
        <v>99</v>
      </c>
      <c r="W14" s="15">
        <f>+COUNTIF(K5:K65,"Campamento")</f>
        <v>11</v>
      </c>
    </row>
    <row r="15" spans="1:23" x14ac:dyDescent="0.25">
      <c r="A15" s="3">
        <v>11</v>
      </c>
      <c r="B15" s="29">
        <v>42928</v>
      </c>
      <c r="C15" s="28" t="s">
        <v>23</v>
      </c>
      <c r="D15" s="28"/>
      <c r="E15" s="28"/>
      <c r="F15" s="28">
        <v>1</v>
      </c>
      <c r="G15" s="28"/>
      <c r="H15" s="28"/>
      <c r="I15" s="28"/>
      <c r="J15" s="33" t="s">
        <v>101</v>
      </c>
      <c r="K15" s="33" t="s">
        <v>99</v>
      </c>
      <c r="L15" s="28" t="s">
        <v>20</v>
      </c>
      <c r="M15" s="28" t="s">
        <v>20</v>
      </c>
      <c r="N15" s="28" t="s">
        <v>20</v>
      </c>
      <c r="O15" s="28" t="s">
        <v>20</v>
      </c>
      <c r="P15" s="28" t="s">
        <v>20</v>
      </c>
      <c r="Q15" s="28" t="s">
        <v>28</v>
      </c>
      <c r="R15" s="28" t="s">
        <v>20</v>
      </c>
      <c r="S15" s="28" t="s">
        <v>20</v>
      </c>
      <c r="U15" s="109"/>
      <c r="V15" s="35" t="s">
        <v>100</v>
      </c>
      <c r="W15" s="15">
        <f>+COUNTIF(K5:K65,"Juticalpa")</f>
        <v>16</v>
      </c>
    </row>
    <row r="16" spans="1:23" x14ac:dyDescent="0.25">
      <c r="A16" s="3">
        <v>12</v>
      </c>
      <c r="B16" s="29">
        <v>42928</v>
      </c>
      <c r="C16" s="28" t="s">
        <v>30</v>
      </c>
      <c r="D16" s="28"/>
      <c r="E16" s="28"/>
      <c r="F16" s="28"/>
      <c r="G16" s="28"/>
      <c r="H16" s="28"/>
      <c r="I16" s="28">
        <v>1</v>
      </c>
      <c r="J16" s="33" t="s">
        <v>101</v>
      </c>
      <c r="K16" s="33" t="s">
        <v>99</v>
      </c>
      <c r="L16" s="28" t="s">
        <v>20</v>
      </c>
      <c r="M16" s="28" t="s">
        <v>20</v>
      </c>
      <c r="N16" s="28" t="s">
        <v>25</v>
      </c>
      <c r="O16" s="28" t="s">
        <v>25</v>
      </c>
      <c r="P16" s="28" t="s">
        <v>25</v>
      </c>
      <c r="Q16" s="28" t="s">
        <v>27</v>
      </c>
      <c r="R16" s="28" t="s">
        <v>20</v>
      </c>
      <c r="S16" s="28" t="s">
        <v>25</v>
      </c>
      <c r="U16" s="109"/>
      <c r="V16" s="6"/>
      <c r="W16" s="15"/>
    </row>
    <row r="17" spans="1:50" x14ac:dyDescent="0.25">
      <c r="A17" s="3">
        <v>13</v>
      </c>
      <c r="B17" s="29">
        <v>42928</v>
      </c>
      <c r="C17" s="28" t="s">
        <v>30</v>
      </c>
      <c r="D17" s="28"/>
      <c r="E17" s="28"/>
      <c r="F17" s="28">
        <v>1</v>
      </c>
      <c r="G17" s="28"/>
      <c r="H17" s="28"/>
      <c r="I17" s="28"/>
      <c r="J17" s="33" t="s">
        <v>101</v>
      </c>
      <c r="K17" s="33" t="s">
        <v>99</v>
      </c>
      <c r="L17" s="28" t="s">
        <v>25</v>
      </c>
      <c r="M17" s="28" t="s">
        <v>25</v>
      </c>
      <c r="N17" s="28" t="s">
        <v>25</v>
      </c>
      <c r="O17" s="28" t="s">
        <v>25</v>
      </c>
      <c r="P17" s="28" t="s">
        <v>25</v>
      </c>
      <c r="Q17" s="28" t="s">
        <v>27</v>
      </c>
      <c r="R17" s="28" t="s">
        <v>25</v>
      </c>
      <c r="S17" s="28" t="s">
        <v>25</v>
      </c>
      <c r="U17" s="138"/>
      <c r="V17" s="34"/>
      <c r="W17" s="15"/>
    </row>
    <row r="18" spans="1:50" ht="15.75" thickBot="1" x14ac:dyDescent="0.3">
      <c r="A18" s="3">
        <v>14</v>
      </c>
      <c r="B18" s="29">
        <v>42928</v>
      </c>
      <c r="C18" s="28" t="s">
        <v>23</v>
      </c>
      <c r="D18" s="28"/>
      <c r="E18" s="28"/>
      <c r="F18" s="28"/>
      <c r="G18" s="28">
        <v>1</v>
      </c>
      <c r="H18" s="28"/>
      <c r="I18" s="28"/>
      <c r="J18" s="33" t="s">
        <v>101</v>
      </c>
      <c r="K18" s="33" t="s">
        <v>99</v>
      </c>
      <c r="L18" s="28" t="s">
        <v>25</v>
      </c>
      <c r="M18" s="28" t="s">
        <v>25</v>
      </c>
      <c r="N18" s="28" t="s">
        <v>25</v>
      </c>
      <c r="O18" s="28" t="s">
        <v>25</v>
      </c>
      <c r="P18" s="28" t="s">
        <v>25</v>
      </c>
      <c r="Q18" s="28" t="s">
        <v>27</v>
      </c>
      <c r="R18" s="28" t="s">
        <v>25</v>
      </c>
      <c r="S18" s="28" t="s">
        <v>20</v>
      </c>
      <c r="U18" s="110"/>
      <c r="V18" s="26"/>
      <c r="W18" s="16"/>
    </row>
    <row r="19" spans="1:50" ht="15" customHeight="1" x14ac:dyDescent="0.25">
      <c r="A19" s="3">
        <v>15</v>
      </c>
      <c r="B19" s="29">
        <v>42928</v>
      </c>
      <c r="C19" s="28" t="s">
        <v>23</v>
      </c>
      <c r="D19" s="28"/>
      <c r="E19" s="28">
        <v>1</v>
      </c>
      <c r="F19" s="28"/>
      <c r="G19" s="28"/>
      <c r="H19" s="28"/>
      <c r="I19" s="28"/>
      <c r="J19" s="33" t="s">
        <v>101</v>
      </c>
      <c r="K19" s="33" t="s">
        <v>99</v>
      </c>
      <c r="L19" s="28" t="s">
        <v>25</v>
      </c>
      <c r="M19" s="28" t="s">
        <v>25</v>
      </c>
      <c r="N19" s="28" t="s">
        <v>25</v>
      </c>
      <c r="O19" s="28" t="s">
        <v>25</v>
      </c>
      <c r="P19" s="28" t="s">
        <v>25</v>
      </c>
      <c r="Q19" s="28" t="s">
        <v>27</v>
      </c>
      <c r="R19" s="28" t="s">
        <v>25</v>
      </c>
      <c r="S19" s="28" t="s">
        <v>25</v>
      </c>
      <c r="U19" s="139" t="s">
        <v>36</v>
      </c>
      <c r="V19" s="10" t="s">
        <v>20</v>
      </c>
      <c r="W19" s="25">
        <f>+COUNTIF(L5:L65,"Si")</f>
        <v>10</v>
      </c>
      <c r="X19" s="125" t="s">
        <v>118</v>
      </c>
      <c r="Y19" s="48" t="s">
        <v>114</v>
      </c>
      <c r="Z19" s="49">
        <f>COUNTIFS($C$5:$C$65,"M",$L$5:$L$65,"Si")</f>
        <v>5</v>
      </c>
      <c r="AA19" s="125" t="s">
        <v>117</v>
      </c>
      <c r="AB19" s="48" t="s">
        <v>114</v>
      </c>
      <c r="AC19" s="55">
        <f>COUNTIFS($C$5:$C$65,"M",$L$5:$L$65,"No")</f>
        <v>9</v>
      </c>
      <c r="AD19" s="125" t="s">
        <v>118</v>
      </c>
      <c r="AE19" s="48" t="s">
        <v>4</v>
      </c>
      <c r="AF19" s="48">
        <f>COUNTIFS($D$5:$D$65,"1",$L$5:$L$65,"Si")</f>
        <v>0</v>
      </c>
      <c r="AG19" s="48" t="s">
        <v>7</v>
      </c>
      <c r="AH19" s="48">
        <f>COUNTIFS($G$5:$G$65,"1",$L$5:$L$65,"Si")</f>
        <v>1</v>
      </c>
      <c r="AI19" s="48" t="s">
        <v>29</v>
      </c>
      <c r="AJ19" s="49">
        <f>COUNTIFS($I$5:$I$65,"Blanco",$L$5:$L$65,"Si")</f>
        <v>0</v>
      </c>
      <c r="AK19" s="50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x14ac:dyDescent="0.25">
      <c r="A20" s="3">
        <v>16</v>
      </c>
      <c r="B20" s="29">
        <v>42928</v>
      </c>
      <c r="C20" s="28" t="s">
        <v>30</v>
      </c>
      <c r="D20" s="28"/>
      <c r="E20" s="28"/>
      <c r="F20" s="28"/>
      <c r="G20" s="28">
        <v>1</v>
      </c>
      <c r="H20" s="28"/>
      <c r="I20" s="28"/>
      <c r="J20" s="33" t="s">
        <v>101</v>
      </c>
      <c r="K20" s="33" t="s">
        <v>99</v>
      </c>
      <c r="L20" s="28" t="s">
        <v>25</v>
      </c>
      <c r="M20" s="28" t="s">
        <v>20</v>
      </c>
      <c r="N20" s="28" t="s">
        <v>25</v>
      </c>
      <c r="O20" s="28" t="s">
        <v>25</v>
      </c>
      <c r="P20" s="28" t="s">
        <v>25</v>
      </c>
      <c r="Q20" s="28" t="s">
        <v>27</v>
      </c>
      <c r="R20" s="28" t="s">
        <v>25</v>
      </c>
      <c r="S20" s="28" t="s">
        <v>25</v>
      </c>
      <c r="U20" s="109"/>
      <c r="V20" s="9" t="s">
        <v>25</v>
      </c>
      <c r="W20" s="15">
        <f>+COUNTIF(L5:L65,"No")</f>
        <v>26</v>
      </c>
      <c r="X20" s="126"/>
      <c r="Y20" s="6" t="s">
        <v>115</v>
      </c>
      <c r="Z20" s="51">
        <f>COUNTIFS($C$5:$C$65,"F",$L$5:$L$65,"Si")</f>
        <v>5</v>
      </c>
      <c r="AA20" s="126"/>
      <c r="AB20" s="6" t="s">
        <v>115</v>
      </c>
      <c r="AC20" s="57">
        <f>COUNTIFS($C$5:$C$65,"F",$L$5:$L$65,"No")</f>
        <v>17</v>
      </c>
      <c r="AD20" s="126"/>
      <c r="AE20" s="6" t="s">
        <v>5</v>
      </c>
      <c r="AF20" s="6">
        <f>COUNTIFS($E$5:$E$65,"1",$L$5:$L$65,"Si")</f>
        <v>3</v>
      </c>
      <c r="AG20" s="39" t="s">
        <v>8</v>
      </c>
      <c r="AH20" s="6">
        <f>COUNTIFS($H$5:$H$65,"1",$L$5:$L$65,"Si")</f>
        <v>1</v>
      </c>
      <c r="AI20" s="6"/>
      <c r="AJ20" s="51"/>
      <c r="AK20" s="50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5.75" thickBot="1" x14ac:dyDescent="0.3">
      <c r="A21" s="3">
        <v>17</v>
      </c>
      <c r="B21" s="29">
        <v>42928</v>
      </c>
      <c r="C21" s="28" t="s">
        <v>23</v>
      </c>
      <c r="D21" s="28"/>
      <c r="E21" s="28"/>
      <c r="F21" s="28"/>
      <c r="G21" s="28"/>
      <c r="H21" s="28"/>
      <c r="I21" s="28">
        <v>1</v>
      </c>
      <c r="J21" s="33" t="s">
        <v>101</v>
      </c>
      <c r="K21" s="33" t="s">
        <v>99</v>
      </c>
      <c r="L21" s="28" t="s">
        <v>25</v>
      </c>
      <c r="M21" s="28" t="s">
        <v>20</v>
      </c>
      <c r="N21" s="28" t="s">
        <v>25</v>
      </c>
      <c r="O21" s="28" t="s">
        <v>25</v>
      </c>
      <c r="P21" s="28" t="s">
        <v>20</v>
      </c>
      <c r="Q21" s="28" t="s">
        <v>27</v>
      </c>
      <c r="R21" s="28" t="s">
        <v>20</v>
      </c>
      <c r="S21" s="28" t="s">
        <v>25</v>
      </c>
      <c r="U21" s="110"/>
      <c r="V21" s="13" t="s">
        <v>29</v>
      </c>
      <c r="W21" s="16">
        <f>+COUNTIF(L5:L65,"Blanco")</f>
        <v>0</v>
      </c>
      <c r="X21" s="127"/>
      <c r="Y21" s="26" t="s">
        <v>29</v>
      </c>
      <c r="Z21" s="52">
        <f>COUNTIFS($C$5:$C$65,"Blanco",$L$5:$L$65,"Si")</f>
        <v>0</v>
      </c>
      <c r="AA21" s="127"/>
      <c r="AB21" s="26" t="s">
        <v>29</v>
      </c>
      <c r="AC21" s="58">
        <f>COUNTIFS($C$5:$C$65,"Blanco",$L$5:$L$65,"No")</f>
        <v>0</v>
      </c>
      <c r="AD21" s="127"/>
      <c r="AE21" s="26" t="s">
        <v>6</v>
      </c>
      <c r="AF21" s="26">
        <f>COUNTIFS($F$5:$F$65,"1",$L$5:$L$65,"Si")</f>
        <v>4</v>
      </c>
      <c r="AG21" s="26" t="s">
        <v>9</v>
      </c>
      <c r="AH21" s="26">
        <f>COUNTIFS($I$5:$I$65,"1",$L$5:$L$65,"Si")</f>
        <v>1</v>
      </c>
      <c r="AI21" s="26"/>
      <c r="AJ21" s="52"/>
      <c r="AK21" s="50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x14ac:dyDescent="0.25">
      <c r="A22" s="3">
        <v>18</v>
      </c>
      <c r="B22" s="29">
        <v>42928</v>
      </c>
      <c r="C22" s="28" t="s">
        <v>23</v>
      </c>
      <c r="D22" s="28"/>
      <c r="E22" s="28"/>
      <c r="F22" s="28">
        <v>1</v>
      </c>
      <c r="G22" s="28"/>
      <c r="H22" s="28"/>
      <c r="I22" s="28"/>
      <c r="J22" s="33" t="s">
        <v>101</v>
      </c>
      <c r="K22" s="33" t="s">
        <v>99</v>
      </c>
      <c r="L22" s="28" t="s">
        <v>20</v>
      </c>
      <c r="M22" s="28" t="s">
        <v>29</v>
      </c>
      <c r="N22" s="28" t="s">
        <v>25</v>
      </c>
      <c r="O22" s="28" t="s">
        <v>25</v>
      </c>
      <c r="P22" s="28" t="s">
        <v>25</v>
      </c>
      <c r="Q22" s="28" t="s">
        <v>26</v>
      </c>
      <c r="R22" s="28" t="s">
        <v>25</v>
      </c>
      <c r="S22" s="28" t="s">
        <v>20</v>
      </c>
      <c r="U22" s="137" t="s">
        <v>37</v>
      </c>
      <c r="V22" s="12" t="s">
        <v>20</v>
      </c>
      <c r="W22" s="14">
        <f>+COUNTIF(M5:M65,"Si")</f>
        <v>9</v>
      </c>
      <c r="X22" s="125" t="s">
        <v>118</v>
      </c>
      <c r="Y22" s="48" t="s">
        <v>114</v>
      </c>
      <c r="Z22" s="49">
        <f>COUNTIFS($C$5:$C$65,"M",$M$5:$M$65,"Si")</f>
        <v>6</v>
      </c>
      <c r="AA22" s="125" t="s">
        <v>117</v>
      </c>
      <c r="AB22" s="48" t="s">
        <v>114</v>
      </c>
      <c r="AC22" s="55">
        <f>COUNTIFS($C$5:$C$65,"M",$M$5:$M$65,"No")</f>
        <v>8</v>
      </c>
      <c r="AD22" s="132" t="s">
        <v>118</v>
      </c>
      <c r="AE22" s="61" t="s">
        <v>4</v>
      </c>
      <c r="AF22" s="48">
        <f>COUNTIFS($D$5:$D$65,"1",$M$5:$M$65,"Si")</f>
        <v>0</v>
      </c>
      <c r="AG22" s="61" t="s">
        <v>7</v>
      </c>
      <c r="AH22" s="48">
        <f>COUNTIFS($G$5:$G$65,"1",$M$5:$M$65,"Si")</f>
        <v>2</v>
      </c>
      <c r="AI22" s="61" t="s">
        <v>29</v>
      </c>
      <c r="AJ22" s="49">
        <f>COUNTIFS($I$5:$I$65,"Blanco",$M$5:$M$65,"Si")</f>
        <v>0</v>
      </c>
      <c r="AK22" s="50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x14ac:dyDescent="0.25">
      <c r="A23" s="3">
        <v>19</v>
      </c>
      <c r="B23" s="29">
        <v>42928</v>
      </c>
      <c r="C23" s="28" t="s">
        <v>23</v>
      </c>
      <c r="D23" s="28"/>
      <c r="E23" s="28"/>
      <c r="F23" s="28">
        <v>1</v>
      </c>
      <c r="G23" s="28"/>
      <c r="H23" s="28"/>
      <c r="I23" s="28"/>
      <c r="J23" s="33" t="s">
        <v>101</v>
      </c>
      <c r="K23" s="33" t="s">
        <v>99</v>
      </c>
      <c r="L23" s="28" t="s">
        <v>25</v>
      </c>
      <c r="M23" s="28" t="s">
        <v>25</v>
      </c>
      <c r="N23" s="28" t="s">
        <v>25</v>
      </c>
      <c r="O23" s="28" t="s">
        <v>25</v>
      </c>
      <c r="P23" s="28" t="s">
        <v>25</v>
      </c>
      <c r="Q23" s="28" t="s">
        <v>27</v>
      </c>
      <c r="R23" s="28" t="s">
        <v>25</v>
      </c>
      <c r="S23" s="28" t="s">
        <v>25</v>
      </c>
      <c r="U23" s="109"/>
      <c r="V23" s="9" t="s">
        <v>25</v>
      </c>
      <c r="W23" s="15">
        <f>+COUNTIF(M5:M65,"No")</f>
        <v>26</v>
      </c>
      <c r="X23" s="126"/>
      <c r="Y23" s="6" t="s">
        <v>115</v>
      </c>
      <c r="Z23" s="51">
        <f>COUNTIFS($C$5:$C$65,"F",$M$5:$M$65,"Si")</f>
        <v>3</v>
      </c>
      <c r="AA23" s="126"/>
      <c r="AB23" s="6" t="s">
        <v>115</v>
      </c>
      <c r="AC23" s="57">
        <f>COUNTIFS($C$5:$C$65,"F",$M$5:$M$65,"No")</f>
        <v>18</v>
      </c>
      <c r="AD23" s="126"/>
      <c r="AE23" s="6" t="s">
        <v>5</v>
      </c>
      <c r="AF23" s="6">
        <f>COUNTIFS($E$5:$E$65,"1",$M$5:$M$65,"Si")</f>
        <v>2</v>
      </c>
      <c r="AG23" s="39" t="s">
        <v>8</v>
      </c>
      <c r="AH23" s="6">
        <f>COUNTIFS($H$5:$H$65,"1",$M$5:$M$65,"Si")</f>
        <v>0</v>
      </c>
      <c r="AI23" s="6"/>
      <c r="AJ23" s="51"/>
      <c r="AK23" s="50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5.75" thickBot="1" x14ac:dyDescent="0.3">
      <c r="A24" s="3">
        <v>20</v>
      </c>
      <c r="B24" s="29">
        <v>42928</v>
      </c>
      <c r="C24" s="28" t="s">
        <v>23</v>
      </c>
      <c r="D24" s="28"/>
      <c r="E24" s="28"/>
      <c r="F24" s="28">
        <v>1</v>
      </c>
      <c r="G24" s="28"/>
      <c r="H24" s="28"/>
      <c r="I24" s="28"/>
      <c r="J24" s="33" t="s">
        <v>101</v>
      </c>
      <c r="K24" s="33" t="s">
        <v>99</v>
      </c>
      <c r="L24" s="28" t="s">
        <v>25</v>
      </c>
      <c r="M24" s="28" t="s">
        <v>25</v>
      </c>
      <c r="N24" s="28" t="s">
        <v>25</v>
      </c>
      <c r="O24" s="28" t="s">
        <v>25</v>
      </c>
      <c r="P24" s="28" t="s">
        <v>25</v>
      </c>
      <c r="Q24" s="28" t="s">
        <v>27</v>
      </c>
      <c r="R24" s="28" t="s">
        <v>20</v>
      </c>
      <c r="S24" s="28" t="s">
        <v>20</v>
      </c>
      <c r="U24" s="110"/>
      <c r="V24" s="13" t="s">
        <v>29</v>
      </c>
      <c r="W24" s="16">
        <f>+COUNTIF(M5:M65,"Blanco")</f>
        <v>1</v>
      </c>
      <c r="X24" s="127"/>
      <c r="Y24" s="26" t="s">
        <v>29</v>
      </c>
      <c r="Z24" s="52">
        <f>COUNTIFS($C$5:$C$65,"Blanco",$M$5:$M$65,"Si")</f>
        <v>0</v>
      </c>
      <c r="AA24" s="127"/>
      <c r="AB24" s="26" t="s">
        <v>29</v>
      </c>
      <c r="AC24" s="58">
        <f>COUNTIFS($C$5:$C$65,"Blanco",$M$5:$M$65,"No")</f>
        <v>0</v>
      </c>
      <c r="AD24" s="127"/>
      <c r="AE24" s="26" t="s">
        <v>6</v>
      </c>
      <c r="AF24" s="26">
        <f>COUNTIFS($F$5:$F$65,"1",$M$5:$M$65,"Si")</f>
        <v>3</v>
      </c>
      <c r="AG24" s="26" t="s">
        <v>9</v>
      </c>
      <c r="AH24" s="26">
        <f>COUNTIFS($I$5:$I$65,"1",$M$5:$M$65,"Si")</f>
        <v>2</v>
      </c>
      <c r="AI24" s="26"/>
      <c r="AJ24" s="52"/>
      <c r="AK24" s="50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x14ac:dyDescent="0.25">
      <c r="A25" s="3">
        <v>21</v>
      </c>
      <c r="B25" s="29">
        <v>42934</v>
      </c>
      <c r="C25" s="28" t="s">
        <v>30</v>
      </c>
      <c r="D25" s="28"/>
      <c r="E25" s="28">
        <v>1</v>
      </c>
      <c r="F25" s="28"/>
      <c r="G25" s="28"/>
      <c r="H25" s="28"/>
      <c r="I25" s="28"/>
      <c r="J25" s="33" t="s">
        <v>101</v>
      </c>
      <c r="K25" s="33" t="s">
        <v>100</v>
      </c>
      <c r="L25" s="28" t="s">
        <v>25</v>
      </c>
      <c r="M25" s="28" t="s">
        <v>25</v>
      </c>
      <c r="N25" s="28" t="s">
        <v>25</v>
      </c>
      <c r="O25" s="28" t="s">
        <v>25</v>
      </c>
      <c r="P25" s="28" t="s">
        <v>25</v>
      </c>
      <c r="Q25" s="28" t="s">
        <v>28</v>
      </c>
      <c r="R25" s="28" t="s">
        <v>25</v>
      </c>
      <c r="S25" s="28" t="s">
        <v>25</v>
      </c>
      <c r="U25" s="137" t="s">
        <v>38</v>
      </c>
      <c r="V25" s="12" t="s">
        <v>20</v>
      </c>
      <c r="W25" s="14">
        <f>+COUNTIF(N5:N65,"Si")</f>
        <v>1</v>
      </c>
      <c r="X25" s="125" t="s">
        <v>118</v>
      </c>
      <c r="Y25" s="48" t="s">
        <v>114</v>
      </c>
      <c r="Z25" s="49">
        <f>COUNTIFS($C$5:$C$65,"M",$N$5:$N$65,"Si")</f>
        <v>0</v>
      </c>
      <c r="AA25" s="125" t="s">
        <v>117</v>
      </c>
      <c r="AB25" s="48" t="s">
        <v>114</v>
      </c>
      <c r="AC25" s="55">
        <f>COUNTIFS($C$5:$C$65,"M",$N$5:$N$65,"No")</f>
        <v>14</v>
      </c>
      <c r="AD25" s="125" t="s">
        <v>117</v>
      </c>
      <c r="AE25" s="48" t="s">
        <v>4</v>
      </c>
      <c r="AF25" s="48">
        <f>COUNTIFS($D$5:$D$65,"1",$N$5:$N$65,"No")</f>
        <v>1</v>
      </c>
      <c r="AG25" s="48" t="s">
        <v>7</v>
      </c>
      <c r="AH25" s="48">
        <f>COUNTIFS($G$5:$G$65,"1",$N$5:$N$65,"No")</f>
        <v>5</v>
      </c>
      <c r="AI25" s="48" t="s">
        <v>29</v>
      </c>
      <c r="AJ25" s="49">
        <f>COUNTIFS($I$5:$I$65,"Blanco",$N$5:$N$65,"No")</f>
        <v>0</v>
      </c>
      <c r="AK25" s="50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x14ac:dyDescent="0.25">
      <c r="A26" s="3">
        <v>22</v>
      </c>
      <c r="B26" s="29">
        <v>42934</v>
      </c>
      <c r="C26" s="28" t="s">
        <v>23</v>
      </c>
      <c r="D26" s="28"/>
      <c r="E26" s="28"/>
      <c r="F26" s="28">
        <v>1</v>
      </c>
      <c r="G26" s="28"/>
      <c r="H26" s="28"/>
      <c r="I26" s="28"/>
      <c r="J26" s="33" t="s">
        <v>101</v>
      </c>
      <c r="K26" s="33" t="s">
        <v>100</v>
      </c>
      <c r="L26" s="28" t="s">
        <v>20</v>
      </c>
      <c r="M26" s="28" t="s">
        <v>25</v>
      </c>
      <c r="N26" s="28" t="s">
        <v>25</v>
      </c>
      <c r="O26" s="28" t="s">
        <v>25</v>
      </c>
      <c r="P26" s="28" t="s">
        <v>25</v>
      </c>
      <c r="Q26" s="28" t="s">
        <v>27</v>
      </c>
      <c r="R26" s="28" t="s">
        <v>20</v>
      </c>
      <c r="S26" s="28" t="s">
        <v>20</v>
      </c>
      <c r="U26" s="109"/>
      <c r="V26" s="9" t="s">
        <v>25</v>
      </c>
      <c r="W26" s="15">
        <f>+COUNTIF(N5:N65,"No")</f>
        <v>35</v>
      </c>
      <c r="X26" s="126"/>
      <c r="Y26" s="6" t="s">
        <v>115</v>
      </c>
      <c r="Z26" s="51">
        <f>COUNTIFS($C$5:$C$65,"F",$N$5:$N$65,"Si")</f>
        <v>1</v>
      </c>
      <c r="AA26" s="126"/>
      <c r="AB26" s="6" t="s">
        <v>115</v>
      </c>
      <c r="AC26" s="57">
        <f>COUNTIFS($C$5:$C$65,"F",$N$5:$N$65,"No")</f>
        <v>21</v>
      </c>
      <c r="AD26" s="126"/>
      <c r="AE26" s="6" t="s">
        <v>5</v>
      </c>
      <c r="AF26" s="6">
        <f>COUNTIFS($E$5:$E$65,"1",$N$5:$N$65,"No")</f>
        <v>9</v>
      </c>
      <c r="AG26" s="39" t="s">
        <v>8</v>
      </c>
      <c r="AH26" s="6">
        <f>COUNTIFS($H$5:$H$65,"1",$N$5:$N$65,"No")</f>
        <v>6</v>
      </c>
      <c r="AI26" s="6"/>
      <c r="AJ26" s="51"/>
      <c r="AK26" s="50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5.75" thickBot="1" x14ac:dyDescent="0.3">
      <c r="A27" s="3">
        <v>23</v>
      </c>
      <c r="B27" s="29">
        <v>42934</v>
      </c>
      <c r="C27" s="28" t="s">
        <v>23</v>
      </c>
      <c r="D27" s="28"/>
      <c r="E27" s="28"/>
      <c r="F27" s="28">
        <v>1</v>
      </c>
      <c r="G27" s="28"/>
      <c r="H27" s="28"/>
      <c r="I27" s="28"/>
      <c r="J27" s="33" t="s">
        <v>101</v>
      </c>
      <c r="K27" s="33" t="s">
        <v>100</v>
      </c>
      <c r="L27" s="28" t="s">
        <v>25</v>
      </c>
      <c r="M27" s="28" t="s">
        <v>25</v>
      </c>
      <c r="N27" s="28" t="s">
        <v>25</v>
      </c>
      <c r="O27" s="28" t="s">
        <v>25</v>
      </c>
      <c r="P27" s="28" t="s">
        <v>25</v>
      </c>
      <c r="Q27" s="28" t="s">
        <v>28</v>
      </c>
      <c r="R27" s="28" t="s">
        <v>25</v>
      </c>
      <c r="S27" s="28" t="s">
        <v>20</v>
      </c>
      <c r="U27" s="110"/>
      <c r="V27" s="13" t="s">
        <v>29</v>
      </c>
      <c r="W27" s="16">
        <f>+COUNTIF(N5:N65,"Blanco")</f>
        <v>0</v>
      </c>
      <c r="X27" s="127"/>
      <c r="Y27" s="26" t="s">
        <v>29</v>
      </c>
      <c r="Z27" s="52">
        <f>COUNTIFS($C$5:$C$65,"Blanco",$N$5:$N$65,"Si")</f>
        <v>0</v>
      </c>
      <c r="AA27" s="127"/>
      <c r="AB27" s="26" t="s">
        <v>29</v>
      </c>
      <c r="AC27" s="58">
        <f>COUNTIFS($C$5:$C$65,"Blanco",$N$5:$N$65,"No")</f>
        <v>0</v>
      </c>
      <c r="AD27" s="127"/>
      <c r="AE27" s="26" t="s">
        <v>6</v>
      </c>
      <c r="AF27" s="26">
        <f>COUNTIFS($F$5:$F$65,"1",$N$5:$N$65,"No")</f>
        <v>11</v>
      </c>
      <c r="AG27" s="26" t="s">
        <v>9</v>
      </c>
      <c r="AH27" s="26">
        <f>COUNTIFS($I$5:$I$65,"1",$N$5:$N$65,"No")</f>
        <v>3</v>
      </c>
      <c r="AI27" s="26"/>
      <c r="AJ27" s="52"/>
      <c r="AK27" s="50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x14ac:dyDescent="0.25">
      <c r="A28" s="3">
        <v>24</v>
      </c>
      <c r="B28" s="29">
        <v>42934</v>
      </c>
      <c r="C28" s="28" t="s">
        <v>23</v>
      </c>
      <c r="D28" s="28"/>
      <c r="E28" s="28"/>
      <c r="F28" s="28"/>
      <c r="G28" s="28"/>
      <c r="H28" s="28">
        <v>1</v>
      </c>
      <c r="I28" s="28"/>
      <c r="J28" s="33" t="s">
        <v>101</v>
      </c>
      <c r="K28" s="33" t="s">
        <v>100</v>
      </c>
      <c r="L28" s="28" t="s">
        <v>25</v>
      </c>
      <c r="M28" s="28" t="s">
        <v>25</v>
      </c>
      <c r="N28" s="28" t="s">
        <v>25</v>
      </c>
      <c r="O28" s="28" t="s">
        <v>25</v>
      </c>
      <c r="P28" s="28" t="s">
        <v>25</v>
      </c>
      <c r="Q28" s="28" t="s">
        <v>27</v>
      </c>
      <c r="R28" s="28" t="s">
        <v>20</v>
      </c>
      <c r="S28" s="28" t="s">
        <v>20</v>
      </c>
      <c r="U28" s="137" t="s">
        <v>39</v>
      </c>
      <c r="V28" s="12" t="s">
        <v>20</v>
      </c>
      <c r="W28" s="14">
        <f>+COUNTIF(O5:O65,"Si")</f>
        <v>2</v>
      </c>
      <c r="X28" s="125" t="s">
        <v>118</v>
      </c>
      <c r="Y28" s="48" t="s">
        <v>114</v>
      </c>
      <c r="Z28" s="49">
        <f>COUNTIFS($C$5:$C$65,"M",$O$5:O65,"Si")</f>
        <v>1</v>
      </c>
      <c r="AA28" s="128" t="s">
        <v>117</v>
      </c>
      <c r="AB28" s="19" t="s">
        <v>114</v>
      </c>
      <c r="AC28" s="65">
        <f>COUNTIFS($C$5:$C$65,"M",$O$5:$O$65,"No")</f>
        <v>12</v>
      </c>
      <c r="AD28" s="128" t="s">
        <v>117</v>
      </c>
      <c r="AE28" s="19" t="s">
        <v>4</v>
      </c>
      <c r="AF28" s="19">
        <f>COUNTIFS($D$5:$D$65,"1",$O$5:$O$65,"No")</f>
        <v>1</v>
      </c>
      <c r="AG28" s="19" t="s">
        <v>7</v>
      </c>
      <c r="AH28" s="19">
        <f>COUNTIFS($G$5:$G$65,"1",$O$5:$O$65,"No")</f>
        <v>4</v>
      </c>
      <c r="AI28" s="19" t="s">
        <v>29</v>
      </c>
      <c r="AJ28" s="66">
        <f>COUNTIFS($I$5:$I$65,"Blanco",$O$5:$O$65,"No")</f>
        <v>0</v>
      </c>
      <c r="AK28" s="50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x14ac:dyDescent="0.25">
      <c r="A29" s="3">
        <v>25</v>
      </c>
      <c r="B29" s="29">
        <v>42934</v>
      </c>
      <c r="C29" s="28" t="s">
        <v>30</v>
      </c>
      <c r="D29" s="28">
        <v>1</v>
      </c>
      <c r="E29" s="28"/>
      <c r="F29" s="28"/>
      <c r="G29" s="28"/>
      <c r="H29" s="28"/>
      <c r="I29" s="28"/>
      <c r="J29" s="33" t="s">
        <v>101</v>
      </c>
      <c r="K29" s="33" t="s">
        <v>100</v>
      </c>
      <c r="L29" s="28" t="s">
        <v>25</v>
      </c>
      <c r="M29" s="28" t="s">
        <v>25</v>
      </c>
      <c r="N29" s="28" t="s">
        <v>25</v>
      </c>
      <c r="O29" s="28" t="s">
        <v>25</v>
      </c>
      <c r="P29" s="28" t="s">
        <v>25</v>
      </c>
      <c r="Q29" s="28" t="s">
        <v>28</v>
      </c>
      <c r="R29" s="28" t="s">
        <v>25</v>
      </c>
      <c r="S29" s="28" t="s">
        <v>25</v>
      </c>
      <c r="U29" s="109"/>
      <c r="V29" s="9" t="s">
        <v>25</v>
      </c>
      <c r="W29" s="15">
        <f>+COUNTIF(O5:O65,"No")</f>
        <v>33</v>
      </c>
      <c r="X29" s="126"/>
      <c r="Y29" s="6" t="s">
        <v>115</v>
      </c>
      <c r="Z29" s="51">
        <f>COUNTIFS($C$5:$C$65,"F",$O$5:$O$65,"Si")</f>
        <v>1</v>
      </c>
      <c r="AA29" s="129"/>
      <c r="AB29" s="35" t="s">
        <v>115</v>
      </c>
      <c r="AC29" s="67">
        <f>COUNTIFS($C$2:$C$65,"F",$O$2:$O$65,"No")</f>
        <v>21</v>
      </c>
      <c r="AD29" s="129"/>
      <c r="AE29" s="35" t="s">
        <v>5</v>
      </c>
      <c r="AF29" s="35">
        <f>COUNTIFS($E$5:$E$65,"1",$O$5:$O$65,"No")</f>
        <v>8</v>
      </c>
      <c r="AG29" s="9" t="s">
        <v>8</v>
      </c>
      <c r="AH29" s="35">
        <f>COUNTIFS($H$5:$H$65,"1",$O$5:$O$65,"No")</f>
        <v>6</v>
      </c>
      <c r="AI29" s="35"/>
      <c r="AJ29" s="68"/>
      <c r="AK29" s="50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5.75" thickBot="1" x14ac:dyDescent="0.3">
      <c r="A30" s="3">
        <v>26</v>
      </c>
      <c r="B30" s="29">
        <v>42934</v>
      </c>
      <c r="C30" s="28" t="s">
        <v>30</v>
      </c>
      <c r="D30" s="28"/>
      <c r="E30" s="28"/>
      <c r="F30" s="28"/>
      <c r="G30" s="28"/>
      <c r="H30" s="28">
        <v>1</v>
      </c>
      <c r="I30" s="28"/>
      <c r="J30" s="33" t="s">
        <v>101</v>
      </c>
      <c r="K30" s="33" t="s">
        <v>100</v>
      </c>
      <c r="L30" s="28" t="s">
        <v>25</v>
      </c>
      <c r="M30" s="28" t="s">
        <v>25</v>
      </c>
      <c r="N30" s="28" t="s">
        <v>25</v>
      </c>
      <c r="O30" s="28" t="s">
        <v>25</v>
      </c>
      <c r="P30" s="28" t="s">
        <v>25</v>
      </c>
      <c r="Q30" s="28" t="s">
        <v>28</v>
      </c>
      <c r="R30" s="28" t="s">
        <v>20</v>
      </c>
      <c r="S30" s="28" t="s">
        <v>20</v>
      </c>
      <c r="U30" s="110"/>
      <c r="V30" s="13" t="s">
        <v>29</v>
      </c>
      <c r="W30" s="16">
        <f>+COUNTIF(O5:O65,"Blanco")</f>
        <v>1</v>
      </c>
      <c r="X30" s="127"/>
      <c r="Y30" s="26" t="s">
        <v>29</v>
      </c>
      <c r="Z30" s="52">
        <f>COUNTIFS($C$5:$C$65,"Blanco",$O$5:$O$65,"Si")</f>
        <v>0</v>
      </c>
      <c r="AA30" s="130"/>
      <c r="AB30" s="27" t="s">
        <v>29</v>
      </c>
      <c r="AC30" s="69">
        <f>COUNTIFS($C$2:$C$65,"Blanco",$O$2:$O$65,"No")</f>
        <v>0</v>
      </c>
      <c r="AD30" s="130"/>
      <c r="AE30" s="27" t="s">
        <v>6</v>
      </c>
      <c r="AF30" s="27">
        <f>COUNTIFS($F$5:$F$65,"1",$O$5:$O$65,"No")</f>
        <v>11</v>
      </c>
      <c r="AG30" s="27" t="s">
        <v>9</v>
      </c>
      <c r="AH30" s="27">
        <f>COUNTIFS($I$5:$I$65,"1",$O$5:$O$65,"No")</f>
        <v>3</v>
      </c>
      <c r="AI30" s="27"/>
      <c r="AJ30" s="70"/>
      <c r="AK30" s="50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x14ac:dyDescent="0.25">
      <c r="A31" s="3">
        <v>27</v>
      </c>
      <c r="B31" s="29">
        <v>42934</v>
      </c>
      <c r="C31" s="28" t="s">
        <v>30</v>
      </c>
      <c r="D31" s="28"/>
      <c r="E31" s="28"/>
      <c r="F31" s="28"/>
      <c r="G31" s="28"/>
      <c r="H31" s="28">
        <v>1</v>
      </c>
      <c r="I31" s="28"/>
      <c r="J31" s="33" t="s">
        <v>101</v>
      </c>
      <c r="K31" s="33" t="s">
        <v>100</v>
      </c>
      <c r="L31" s="28" t="s">
        <v>25</v>
      </c>
      <c r="M31" s="28" t="s">
        <v>25</v>
      </c>
      <c r="N31" s="28" t="s">
        <v>25</v>
      </c>
      <c r="O31" s="28" t="s">
        <v>25</v>
      </c>
      <c r="P31" s="28" t="s">
        <v>25</v>
      </c>
      <c r="Q31" s="28" t="s">
        <v>28</v>
      </c>
      <c r="R31" s="28" t="s">
        <v>25</v>
      </c>
      <c r="S31" s="28" t="s">
        <v>25</v>
      </c>
      <c r="U31" s="137" t="s">
        <v>40</v>
      </c>
      <c r="V31" s="12" t="s">
        <v>20</v>
      </c>
      <c r="W31" s="14">
        <f>+COUNTIF(P5:P65,"Si")</f>
        <v>2</v>
      </c>
      <c r="X31" s="125" t="s">
        <v>118</v>
      </c>
      <c r="Y31" s="48" t="s">
        <v>114</v>
      </c>
      <c r="Z31" s="49">
        <f>COUNTIFS($C$5:$C$65,"M",$P$5:$P$65,"Si")</f>
        <v>0</v>
      </c>
      <c r="AA31" s="128" t="s">
        <v>117</v>
      </c>
      <c r="AB31" s="19" t="s">
        <v>114</v>
      </c>
      <c r="AC31" s="65">
        <f>COUNTIFS($C$5:$C$65,"M",$P$5:$P$65,"No")</f>
        <v>14</v>
      </c>
      <c r="AD31" s="128" t="s">
        <v>117</v>
      </c>
      <c r="AE31" s="19" t="s">
        <v>4</v>
      </c>
      <c r="AF31" s="19">
        <f>COUNTIFS($D$5:$D$65,"1",$P$5:$P$65,"No")</f>
        <v>1</v>
      </c>
      <c r="AG31" s="19" t="s">
        <v>7</v>
      </c>
      <c r="AH31" s="19">
        <f>COUNTIFS($G$5:$G$65,"1",$P$5:$P$65,"No")</f>
        <v>5</v>
      </c>
      <c r="AI31" s="19" t="s">
        <v>29</v>
      </c>
      <c r="AJ31" s="66">
        <f>COUNTIFS($I$5:$I$65,"Blanco",$P$5:$P$65,"No")</f>
        <v>0</v>
      </c>
      <c r="AK31" s="50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x14ac:dyDescent="0.25">
      <c r="A32" s="3">
        <v>28</v>
      </c>
      <c r="B32" s="29">
        <v>42934</v>
      </c>
      <c r="C32" s="28" t="s">
        <v>23</v>
      </c>
      <c r="D32" s="28"/>
      <c r="E32" s="28">
        <v>1</v>
      </c>
      <c r="F32" s="28"/>
      <c r="G32" s="28"/>
      <c r="H32" s="28"/>
      <c r="I32" s="28"/>
      <c r="J32" s="33" t="s">
        <v>101</v>
      </c>
      <c r="K32" s="33" t="s">
        <v>100</v>
      </c>
      <c r="L32" s="28" t="s">
        <v>25</v>
      </c>
      <c r="M32" s="28" t="s">
        <v>25</v>
      </c>
      <c r="N32" s="28" t="s">
        <v>25</v>
      </c>
      <c r="O32" s="28" t="s">
        <v>25</v>
      </c>
      <c r="P32" s="28" t="s">
        <v>25</v>
      </c>
      <c r="Q32" s="28" t="s">
        <v>27</v>
      </c>
      <c r="R32" s="28" t="s">
        <v>25</v>
      </c>
      <c r="S32" s="28" t="s">
        <v>20</v>
      </c>
      <c r="U32" s="109"/>
      <c r="V32" s="9" t="s">
        <v>25</v>
      </c>
      <c r="W32" s="15">
        <f>+COUNTIF(P5:P65,"No")</f>
        <v>34</v>
      </c>
      <c r="X32" s="126"/>
      <c r="Y32" s="6" t="s">
        <v>115</v>
      </c>
      <c r="Z32" s="51">
        <f>COUNTIFS($C$5:$C$65,"F",$P$5:$P$65,"Si")</f>
        <v>2</v>
      </c>
      <c r="AA32" s="129"/>
      <c r="AB32" s="35" t="s">
        <v>115</v>
      </c>
      <c r="AC32" s="67">
        <f>COUNTIFS($C$5:$C$65,"F",$P$5:$P$65,"NO")</f>
        <v>20</v>
      </c>
      <c r="AD32" s="129"/>
      <c r="AE32" s="35" t="s">
        <v>5</v>
      </c>
      <c r="AF32" s="35">
        <f>COUNTIFS($E$5:$E$65,"1",$P$5:$P$65,"No")</f>
        <v>9</v>
      </c>
      <c r="AG32" s="9" t="s">
        <v>8</v>
      </c>
      <c r="AH32" s="35">
        <f>COUNTIFS($H$5:$H$65,"1",$P$5:$P$65,"No")</f>
        <v>6</v>
      </c>
      <c r="AI32" s="35"/>
      <c r="AJ32" s="68"/>
      <c r="AK32" s="50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5.75" thickBot="1" x14ac:dyDescent="0.3">
      <c r="A33" s="3">
        <v>29</v>
      </c>
      <c r="B33" s="29">
        <v>42934</v>
      </c>
      <c r="C33" s="28" t="s">
        <v>30</v>
      </c>
      <c r="D33" s="28"/>
      <c r="E33" s="28"/>
      <c r="F33" s="28">
        <v>1</v>
      </c>
      <c r="G33" s="28"/>
      <c r="H33" s="28"/>
      <c r="I33" s="28"/>
      <c r="J33" s="33" t="s">
        <v>101</v>
      </c>
      <c r="K33" s="33" t="s">
        <v>100</v>
      </c>
      <c r="L33" s="28" t="s">
        <v>20</v>
      </c>
      <c r="M33" s="28" t="s">
        <v>20</v>
      </c>
      <c r="N33" s="28" t="s">
        <v>25</v>
      </c>
      <c r="O33" s="28" t="s">
        <v>25</v>
      </c>
      <c r="P33" s="28" t="s">
        <v>25</v>
      </c>
      <c r="Q33" s="28" t="s">
        <v>28</v>
      </c>
      <c r="R33" s="28" t="s">
        <v>20</v>
      </c>
      <c r="S33" s="28" t="s">
        <v>20</v>
      </c>
      <c r="U33" s="110"/>
      <c r="V33" s="13" t="s">
        <v>29</v>
      </c>
      <c r="W33" s="16">
        <f>+COUNTIF(P5:P65,"Blanco")</f>
        <v>0</v>
      </c>
      <c r="X33" s="154"/>
      <c r="Y33" s="34" t="s">
        <v>29</v>
      </c>
      <c r="Z33" s="53">
        <f>COUNTIFS($C$5:$C$65,"Blanco",$P$5:$P$65,"Si")</f>
        <v>0</v>
      </c>
      <c r="AA33" s="153"/>
      <c r="AB33" s="71" t="s">
        <v>29</v>
      </c>
      <c r="AC33" s="72">
        <f>COUNTIFS($C$5:$C$65,"Blanco",$P$5:$P$65,"No")</f>
        <v>0</v>
      </c>
      <c r="AD33" s="130"/>
      <c r="AE33" s="27" t="s">
        <v>6</v>
      </c>
      <c r="AF33" s="27">
        <f>COUNTIFS($F$5:$F$65,"1",$P$5:$P$65,"No")</f>
        <v>11</v>
      </c>
      <c r="AG33" s="71" t="s">
        <v>9</v>
      </c>
      <c r="AH33" s="71">
        <f>COUNTIFS($I$5:$I$65,"1",$P$5:$P$65,"No")</f>
        <v>2</v>
      </c>
      <c r="AI33" s="71"/>
      <c r="AJ33" s="73"/>
      <c r="AK33" s="5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</row>
    <row r="34" spans="1:50" x14ac:dyDescent="0.25">
      <c r="A34" s="3">
        <v>30</v>
      </c>
      <c r="B34" s="29">
        <v>42934</v>
      </c>
      <c r="C34" s="28" t="s">
        <v>23</v>
      </c>
      <c r="D34" s="28"/>
      <c r="E34" s="28"/>
      <c r="F34" s="28"/>
      <c r="G34" s="28"/>
      <c r="H34" s="28"/>
      <c r="I34" s="28">
        <v>1</v>
      </c>
      <c r="J34" s="33" t="s">
        <v>101</v>
      </c>
      <c r="K34" s="33" t="s">
        <v>100</v>
      </c>
      <c r="L34" s="28" t="s">
        <v>25</v>
      </c>
      <c r="M34" s="28" t="s">
        <v>25</v>
      </c>
      <c r="N34" s="28" t="s">
        <v>25</v>
      </c>
      <c r="O34" s="28" t="s">
        <v>25</v>
      </c>
      <c r="P34" s="28" t="s">
        <v>25</v>
      </c>
      <c r="Q34" s="28" t="s">
        <v>26</v>
      </c>
      <c r="R34" s="28" t="s">
        <v>25</v>
      </c>
      <c r="S34" s="28" t="s">
        <v>25</v>
      </c>
      <c r="U34" s="137" t="s">
        <v>41</v>
      </c>
      <c r="V34" s="12" t="s">
        <v>27</v>
      </c>
      <c r="W34" s="14">
        <f>+COUNTIF(Q5:Q65,"Elevada")</f>
        <v>16</v>
      </c>
      <c r="X34" s="125" t="s">
        <v>116</v>
      </c>
      <c r="Y34" s="48" t="s">
        <v>114</v>
      </c>
      <c r="Z34" s="49">
        <f>COUNTIFS($C$5:$C$65,"M",$Q$5:$Q$65,"Elevada")</f>
        <v>6</v>
      </c>
      <c r="AA34" s="125" t="s">
        <v>119</v>
      </c>
      <c r="AB34" s="48" t="s">
        <v>114</v>
      </c>
      <c r="AC34" s="49">
        <f>COUNTIFS($C$5:$C$65,"M",$Q$5:$Q$65,"Alguna")</f>
        <v>8</v>
      </c>
      <c r="AD34" s="125" t="s">
        <v>120</v>
      </c>
      <c r="AE34" s="48" t="s">
        <v>114</v>
      </c>
      <c r="AF34" s="49">
        <f>COUNTIFS($C$5:$C$65,"M",$Q$5:$Q$65,"Poca")</f>
        <v>0</v>
      </c>
      <c r="AG34" s="125" t="s">
        <v>121</v>
      </c>
      <c r="AH34" s="48" t="s">
        <v>114</v>
      </c>
      <c r="AI34" s="55">
        <f>COUNTIFS($C$5:$C$65,"M",$Q$5:$Q$65,"Ninguna")</f>
        <v>0</v>
      </c>
      <c r="AJ34" s="55"/>
      <c r="AK34" s="125" t="s">
        <v>122</v>
      </c>
      <c r="AL34" s="56" t="s">
        <v>4</v>
      </c>
      <c r="AM34" s="48">
        <f>COUNTIFS($D$5:$D$65,"1",$Q$5:$Q$65,"Elevada")</f>
        <v>0</v>
      </c>
      <c r="AN34" s="48" t="s">
        <v>7</v>
      </c>
      <c r="AO34" s="48">
        <f>COUNTIFS($G$5:$G$65,"1",$Q$5:$Q$65,"Elevada")</f>
        <v>4</v>
      </c>
      <c r="AP34" s="48" t="s">
        <v>29</v>
      </c>
      <c r="AQ34" s="49">
        <f>COUNTIFS($I$5:$I$65,"Blanco",$Q$5:$Q$65,"Elevada")</f>
        <v>0</v>
      </c>
      <c r="AR34" s="125" t="s">
        <v>119</v>
      </c>
      <c r="AS34" s="48" t="s">
        <v>4</v>
      </c>
      <c r="AT34" s="48">
        <f>COUNTIFS($D$5:$D$65,"1",$Q$5:$Q$65,"Alguna")</f>
        <v>1</v>
      </c>
      <c r="AU34" s="48" t="s">
        <v>7</v>
      </c>
      <c r="AV34" s="48">
        <f>COUNTIFS($G$5:$G$65,"1",$Q$5:$Q$65,"Alguna")</f>
        <v>1</v>
      </c>
      <c r="AW34" s="48" t="s">
        <v>29</v>
      </c>
      <c r="AX34" s="49">
        <f>COUNTIFS($I$5:$I$65,"Blanco",$Q$5:$Q$65,"Alguna")</f>
        <v>0</v>
      </c>
    </row>
    <row r="35" spans="1:50" x14ac:dyDescent="0.25">
      <c r="A35" s="3">
        <v>31</v>
      </c>
      <c r="B35" s="29">
        <v>42934</v>
      </c>
      <c r="C35" s="28" t="s">
        <v>23</v>
      </c>
      <c r="D35" s="28"/>
      <c r="E35" s="28"/>
      <c r="F35" s="28"/>
      <c r="G35" s="28"/>
      <c r="H35" s="28">
        <v>1</v>
      </c>
      <c r="I35" s="28"/>
      <c r="J35" s="33" t="s">
        <v>101</v>
      </c>
      <c r="K35" s="33" t="s">
        <v>100</v>
      </c>
      <c r="L35" s="28" t="s">
        <v>25</v>
      </c>
      <c r="M35" s="28" t="s">
        <v>25</v>
      </c>
      <c r="N35" s="28" t="s">
        <v>25</v>
      </c>
      <c r="O35" s="28" t="s">
        <v>25</v>
      </c>
      <c r="P35" s="28" t="s">
        <v>25</v>
      </c>
      <c r="Q35" s="28" t="s">
        <v>28</v>
      </c>
      <c r="R35" s="28" t="s">
        <v>25</v>
      </c>
      <c r="S35" s="28" t="s">
        <v>20</v>
      </c>
      <c r="U35" s="109"/>
      <c r="V35" s="9" t="s">
        <v>28</v>
      </c>
      <c r="W35" s="15">
        <f>+COUNTIF(Q5:Q65,"Alguna")</f>
        <v>15</v>
      </c>
      <c r="X35" s="126"/>
      <c r="Y35" s="6" t="s">
        <v>115</v>
      </c>
      <c r="Z35" s="51">
        <f>COUNTIFS($C$5:$C$65,"F",$Q$5:$Q$65,"Elevada")</f>
        <v>10</v>
      </c>
      <c r="AA35" s="126"/>
      <c r="AB35" s="6" t="s">
        <v>115</v>
      </c>
      <c r="AC35" s="51">
        <f>COUNTIFS($C$5:$C$65,"F",$Q$5:$Q$65,"Alguna")</f>
        <v>7</v>
      </c>
      <c r="AD35" s="126"/>
      <c r="AE35" s="6" t="s">
        <v>115</v>
      </c>
      <c r="AF35" s="51">
        <f>COUNTIFS($C$5:$C$65,"F",$Q$5:$Q$65,"Poca")</f>
        <v>4</v>
      </c>
      <c r="AG35" s="126"/>
      <c r="AH35" s="6" t="s">
        <v>115</v>
      </c>
      <c r="AI35" s="57">
        <f>COUNTIFS($C$5:$C$65,"F",$Q$5:$Q$65,"Ninguna")</f>
        <v>1</v>
      </c>
      <c r="AJ35" s="57"/>
      <c r="AK35" s="126"/>
      <c r="AL35" s="50" t="s">
        <v>5</v>
      </c>
      <c r="AM35" s="6">
        <f>COUNTIFS($E$5:$E$65,"1",$Q$5:$Q$65,"Elevada")</f>
        <v>3</v>
      </c>
      <c r="AN35" s="39" t="s">
        <v>8</v>
      </c>
      <c r="AO35" s="6">
        <f>COUNTIFS($H$5:$H$65,"1",$Q$5:$Q$65,"Elevada")</f>
        <v>2</v>
      </c>
      <c r="AP35" s="6"/>
      <c r="AQ35" s="51"/>
      <c r="AR35" s="126"/>
      <c r="AS35" s="6" t="s">
        <v>5</v>
      </c>
      <c r="AT35" s="6">
        <f>COUNTIFS($E$5:$E$65,"1",$Q$5:$Q$65,"Alguna")</f>
        <v>5</v>
      </c>
      <c r="AU35" s="39" t="s">
        <v>8</v>
      </c>
      <c r="AV35" s="6">
        <f>COUNTIFS($H$5:$H$65,"1",$Q$5:$Q$65,"Alguna")</f>
        <v>3</v>
      </c>
      <c r="AW35" s="6"/>
      <c r="AX35" s="51"/>
    </row>
    <row r="36" spans="1:50" ht="15.75" thickBot="1" x14ac:dyDescent="0.3">
      <c r="A36" s="3">
        <v>32</v>
      </c>
      <c r="B36" s="29">
        <v>42934</v>
      </c>
      <c r="C36" s="28" t="s">
        <v>30</v>
      </c>
      <c r="D36" s="28"/>
      <c r="E36" s="28"/>
      <c r="F36" s="28">
        <v>1</v>
      </c>
      <c r="G36" s="28"/>
      <c r="H36" s="28"/>
      <c r="I36" s="28"/>
      <c r="J36" s="33" t="s">
        <v>101</v>
      </c>
      <c r="K36" s="33" t="s">
        <v>100</v>
      </c>
      <c r="L36" s="28" t="s">
        <v>25</v>
      </c>
      <c r="M36" s="28" t="s">
        <v>25</v>
      </c>
      <c r="N36" s="28" t="s">
        <v>25</v>
      </c>
      <c r="O36" s="28" t="s">
        <v>25</v>
      </c>
      <c r="P36" s="28" t="s">
        <v>25</v>
      </c>
      <c r="Q36" s="28" t="s">
        <v>27</v>
      </c>
      <c r="R36" s="28" t="s">
        <v>25</v>
      </c>
      <c r="S36" s="28" t="s">
        <v>20</v>
      </c>
      <c r="U36" s="109"/>
      <c r="V36" s="9" t="s">
        <v>26</v>
      </c>
      <c r="W36" s="15">
        <f>+COUNTIF(Q5:Q65,"Poca")</f>
        <v>4</v>
      </c>
      <c r="X36" s="127"/>
      <c r="Y36" s="26" t="s">
        <v>29</v>
      </c>
      <c r="Z36" s="52">
        <f>COUNTIFS($C$5:$C$65,"Blanco",Q8:Q68,"Elevada")</f>
        <v>0</v>
      </c>
      <c r="AA36" s="127"/>
      <c r="AB36" s="26" t="s">
        <v>29</v>
      </c>
      <c r="AC36" s="52">
        <f>COUNTIFS($C$5:$C$65,"Blanco",$Q$5:$Q$65,"Alguna")</f>
        <v>0</v>
      </c>
      <c r="AD36" s="127"/>
      <c r="AE36" s="26" t="s">
        <v>29</v>
      </c>
      <c r="AF36" s="52">
        <f>COUNTIFS($C$5:$C$65,"Blanco",$Q$5:$Q$65,"Poca")</f>
        <v>0</v>
      </c>
      <c r="AG36" s="127"/>
      <c r="AH36" s="26" t="s">
        <v>29</v>
      </c>
      <c r="AI36" s="58">
        <f>COUNTIFS($C$5:$C$65,"Blanco",$Q$5:$Q$65,"Ninguna")</f>
        <v>0</v>
      </c>
      <c r="AJ36" s="58"/>
      <c r="AK36" s="127"/>
      <c r="AL36" s="59" t="s">
        <v>6</v>
      </c>
      <c r="AM36" s="26">
        <f>COUNTIFS($F$5:$F$65,"1",$Q$5:$Q$65,"Elevada")</f>
        <v>5</v>
      </c>
      <c r="AN36" s="26" t="s">
        <v>9</v>
      </c>
      <c r="AO36" s="26">
        <f>COUNTIFS($I$5:$I$65,"1",$Q$5:$Q$65,"Elevada")</f>
        <v>2</v>
      </c>
      <c r="AP36" s="26"/>
      <c r="AQ36" s="52"/>
      <c r="AR36" s="127"/>
      <c r="AS36" s="26" t="s">
        <v>6</v>
      </c>
      <c r="AT36" s="26">
        <f>COUNTIFS($F$5:$F$65,"1",$Q$5:$Q$65,"Alguna")</f>
        <v>5</v>
      </c>
      <c r="AU36" s="26" t="s">
        <v>9</v>
      </c>
      <c r="AV36" s="26">
        <f>COUNTIFS($I$5:$I$65,"1",$Q$5:$Q$65,"Alguna")</f>
        <v>0</v>
      </c>
      <c r="AW36" s="26"/>
      <c r="AX36" s="52"/>
    </row>
    <row r="37" spans="1:50" ht="15.75" thickBot="1" x14ac:dyDescent="0.3">
      <c r="A37" s="3">
        <v>33</v>
      </c>
      <c r="B37" s="29">
        <v>42934</v>
      </c>
      <c r="C37" s="28" t="s">
        <v>23</v>
      </c>
      <c r="D37" s="28"/>
      <c r="E37" s="28"/>
      <c r="F37" s="28"/>
      <c r="G37" s="28">
        <v>1</v>
      </c>
      <c r="H37" s="28"/>
      <c r="I37" s="28"/>
      <c r="J37" s="33" t="s">
        <v>101</v>
      </c>
      <c r="K37" s="33" t="s">
        <v>100</v>
      </c>
      <c r="L37" s="28" t="s">
        <v>25</v>
      </c>
      <c r="M37" s="28" t="s">
        <v>25</v>
      </c>
      <c r="N37" s="28" t="s">
        <v>25</v>
      </c>
      <c r="O37" s="28" t="s">
        <v>25</v>
      </c>
      <c r="P37" s="28" t="s">
        <v>25</v>
      </c>
      <c r="Q37" s="28" t="s">
        <v>27</v>
      </c>
      <c r="R37" s="28" t="s">
        <v>25</v>
      </c>
      <c r="S37" s="28" t="s">
        <v>25</v>
      </c>
      <c r="U37" s="110"/>
      <c r="V37" s="13" t="s">
        <v>34</v>
      </c>
      <c r="W37" s="16">
        <f>+COUNTIF(Q5:Q65,"Ninguna")</f>
        <v>1</v>
      </c>
      <c r="X37" s="47"/>
      <c r="Y37" s="60"/>
      <c r="Z37" s="62"/>
      <c r="AA37" s="63"/>
      <c r="AB37" s="60"/>
      <c r="AC37" s="64"/>
      <c r="AD37" s="60"/>
      <c r="AE37" s="60"/>
      <c r="AG37" s="60"/>
      <c r="AH37" s="60"/>
      <c r="AI37" s="60"/>
      <c r="AJ37" s="60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</row>
    <row r="38" spans="1:50" x14ac:dyDescent="0.25">
      <c r="A38" s="3">
        <v>34</v>
      </c>
      <c r="B38" s="29">
        <v>42934</v>
      </c>
      <c r="C38" s="28" t="s">
        <v>23</v>
      </c>
      <c r="D38" s="28"/>
      <c r="E38" s="28"/>
      <c r="F38" s="28">
        <v>1</v>
      </c>
      <c r="G38" s="28"/>
      <c r="H38" s="28"/>
      <c r="I38" s="28"/>
      <c r="J38" s="33" t="s">
        <v>101</v>
      </c>
      <c r="K38" s="33" t="s">
        <v>100</v>
      </c>
      <c r="L38" s="28" t="s">
        <v>25</v>
      </c>
      <c r="M38" s="28" t="s">
        <v>25</v>
      </c>
      <c r="N38" s="28" t="s">
        <v>25</v>
      </c>
      <c r="O38" s="28" t="s">
        <v>25</v>
      </c>
      <c r="P38" s="28" t="s">
        <v>25</v>
      </c>
      <c r="Q38" s="28" t="s">
        <v>28</v>
      </c>
      <c r="R38" s="28" t="s">
        <v>25</v>
      </c>
      <c r="S38" s="28" t="s">
        <v>20</v>
      </c>
      <c r="U38" s="137" t="s">
        <v>42</v>
      </c>
      <c r="V38" s="12" t="s">
        <v>20</v>
      </c>
      <c r="W38" s="14">
        <f>+COUNTIF(R5:R65,"Si")</f>
        <v>14</v>
      </c>
      <c r="X38" s="125" t="s">
        <v>118</v>
      </c>
      <c r="Y38" s="48" t="s">
        <v>114</v>
      </c>
      <c r="Z38" s="49">
        <f>COUNTIFS($C$5:$C$65,"M",$R$5:$R$65,"Si")</f>
        <v>7</v>
      </c>
      <c r="AA38" s="125" t="s">
        <v>117</v>
      </c>
      <c r="AB38" s="48" t="s">
        <v>114</v>
      </c>
      <c r="AC38" s="55">
        <f>COUNTIFS($C$5:$C$65,"M",$R$5:$R$65,"No")</f>
        <v>7</v>
      </c>
      <c r="AD38" s="125" t="s">
        <v>118</v>
      </c>
      <c r="AE38" s="48" t="s">
        <v>4</v>
      </c>
      <c r="AF38" s="48">
        <f>COUNTIFS($D$5:$D$65,"1",$R$5:$R$65,"Si")</f>
        <v>0</v>
      </c>
      <c r="AG38" s="48" t="s">
        <v>7</v>
      </c>
      <c r="AH38" s="48">
        <f>COUNTIFS($G$5:$G$65,"1",$R$5:$R$65,"Si")</f>
        <v>1</v>
      </c>
      <c r="AI38" s="48" t="s">
        <v>29</v>
      </c>
      <c r="AJ38" s="49">
        <f>COUNTIFS($I$5:$I$65,"Blanco",$R$5:$R$65,"Si")</f>
        <v>0</v>
      </c>
      <c r="AK38" s="50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x14ac:dyDescent="0.25">
      <c r="A39" s="3">
        <v>35</v>
      </c>
      <c r="B39" s="29">
        <v>42934</v>
      </c>
      <c r="C39" s="28" t="s">
        <v>23</v>
      </c>
      <c r="D39" s="28"/>
      <c r="E39" s="28">
        <v>1</v>
      </c>
      <c r="F39" s="28"/>
      <c r="G39" s="28"/>
      <c r="H39" s="28"/>
      <c r="I39" s="28"/>
      <c r="J39" s="33" t="s">
        <v>101</v>
      </c>
      <c r="K39" s="33" t="s">
        <v>100</v>
      </c>
      <c r="L39" s="28" t="s">
        <v>25</v>
      </c>
      <c r="M39" s="28" t="s">
        <v>25</v>
      </c>
      <c r="N39" s="28" t="s">
        <v>25</v>
      </c>
      <c r="O39" s="28" t="s">
        <v>25</v>
      </c>
      <c r="P39" s="28" t="s">
        <v>25</v>
      </c>
      <c r="Q39" s="28" t="s">
        <v>28</v>
      </c>
      <c r="R39" s="28" t="s">
        <v>25</v>
      </c>
      <c r="S39" s="28" t="s">
        <v>20</v>
      </c>
      <c r="U39" s="109"/>
      <c r="V39" s="9" t="s">
        <v>25</v>
      </c>
      <c r="W39" s="15">
        <f>+COUNTIF(R5:R65,"No")</f>
        <v>22</v>
      </c>
      <c r="X39" s="126"/>
      <c r="Y39" s="6" t="s">
        <v>115</v>
      </c>
      <c r="Z39" s="51">
        <f>COUNTIFS($C$5:$C$65,"F",$R$5:$R$65,"Si")</f>
        <v>7</v>
      </c>
      <c r="AA39" s="126"/>
      <c r="AB39" s="6" t="s">
        <v>115</v>
      </c>
      <c r="AC39" s="57">
        <f>COUNTIFS($C$5:$C$65,"F",$R$5:$R$65,"No")</f>
        <v>15</v>
      </c>
      <c r="AD39" s="126"/>
      <c r="AE39" s="6" t="s">
        <v>5</v>
      </c>
      <c r="AF39" s="6">
        <f>COUNTIFS($E$5:$E$65,"1",$R$5:$R$65,"Si")</f>
        <v>3</v>
      </c>
      <c r="AG39" s="39" t="s">
        <v>8</v>
      </c>
      <c r="AH39" s="6">
        <f>COUNTIFS($H$5:$H$65,"1",$R$5:$R$65,"Si")</f>
        <v>3</v>
      </c>
      <c r="AI39" s="6"/>
      <c r="AJ39" s="51"/>
      <c r="AK39" s="50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5.75" thickBot="1" x14ac:dyDescent="0.3">
      <c r="A40" s="3">
        <v>36</v>
      </c>
      <c r="B40" s="29">
        <v>42934</v>
      </c>
      <c r="C40" s="31" t="s">
        <v>23</v>
      </c>
      <c r="D40" s="28"/>
      <c r="E40" s="28">
        <v>1</v>
      </c>
      <c r="F40" s="28"/>
      <c r="G40" s="28"/>
      <c r="H40" s="28"/>
      <c r="I40" s="28"/>
      <c r="J40" s="33" t="s">
        <v>101</v>
      </c>
      <c r="K40" s="33" t="s">
        <v>100</v>
      </c>
      <c r="L40" s="31" t="s">
        <v>20</v>
      </c>
      <c r="M40" s="31" t="s">
        <v>25</v>
      </c>
      <c r="N40" s="31" t="s">
        <v>25</v>
      </c>
      <c r="O40" s="31" t="s">
        <v>25</v>
      </c>
      <c r="P40" s="31" t="s">
        <v>25</v>
      </c>
      <c r="Q40" s="31" t="s">
        <v>28</v>
      </c>
      <c r="R40" s="31" t="s">
        <v>20</v>
      </c>
      <c r="S40" s="31" t="s">
        <v>20</v>
      </c>
      <c r="U40" s="110"/>
      <c r="V40" s="13" t="s">
        <v>29</v>
      </c>
      <c r="W40" s="16">
        <f>+COUNTIF(R5:R65,"Blanco")</f>
        <v>0</v>
      </c>
      <c r="X40" s="127"/>
      <c r="Y40" s="26" t="s">
        <v>29</v>
      </c>
      <c r="Z40" s="52">
        <f>COUNTIFS($C$5:$C$65,"Blanco",$R$5:$R$65,"Si")</f>
        <v>0</v>
      </c>
      <c r="AA40" s="127"/>
      <c r="AB40" s="26" t="s">
        <v>29</v>
      </c>
      <c r="AC40" s="58">
        <f>COUNTIFS($C$5:$C$65,"Blanco",$R$5:$R$65,"No")</f>
        <v>0</v>
      </c>
      <c r="AD40" s="127"/>
      <c r="AE40" s="26" t="s">
        <v>6</v>
      </c>
      <c r="AF40" s="26">
        <f>COUNTIFS($F$5:$F$65,"1",$R$5:$R$65,"Si")</f>
        <v>5</v>
      </c>
      <c r="AG40" s="26" t="s">
        <v>9</v>
      </c>
      <c r="AH40" s="26">
        <f>COUNTIFS($I$5:$I$65,"1",$R$5:$R$65,"Si")</f>
        <v>2</v>
      </c>
      <c r="AI40" s="26"/>
      <c r="AJ40" s="52"/>
      <c r="AK40" s="50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x14ac:dyDescent="0.25">
      <c r="A41" s="3">
        <v>37</v>
      </c>
      <c r="B41" s="29"/>
      <c r="C41" s="31"/>
      <c r="D41" s="28"/>
      <c r="E41" s="28"/>
      <c r="F41" s="28"/>
      <c r="G41" s="28"/>
      <c r="H41" s="28"/>
      <c r="I41" s="28"/>
      <c r="J41" s="33"/>
      <c r="K41" s="28"/>
      <c r="L41" s="31"/>
      <c r="M41" s="31"/>
      <c r="N41" s="31"/>
      <c r="O41" s="31"/>
      <c r="P41" s="31"/>
      <c r="Q41" s="31"/>
      <c r="R41" s="31"/>
      <c r="S41" s="31"/>
      <c r="U41" s="137" t="s">
        <v>43</v>
      </c>
      <c r="V41" s="12" t="s">
        <v>20</v>
      </c>
      <c r="W41" s="14">
        <f>+COUNTIF(S5:S65,"Si")</f>
        <v>22</v>
      </c>
      <c r="X41" s="125" t="s">
        <v>118</v>
      </c>
      <c r="Y41" s="48" t="s">
        <v>114</v>
      </c>
      <c r="Z41" s="49">
        <f>COUNTIFS($C$5:$C$65,"M",$S$5:$S$65,"Si")</f>
        <v>7</v>
      </c>
      <c r="AA41" s="125" t="s">
        <v>117</v>
      </c>
      <c r="AB41" s="48" t="s">
        <v>114</v>
      </c>
      <c r="AC41" s="55">
        <f>COUNTIFS($C$5:$C$65,"M",$S$5:$S$65,"No")</f>
        <v>7</v>
      </c>
      <c r="AD41" s="125" t="s">
        <v>118</v>
      </c>
      <c r="AE41" s="48" t="s">
        <v>4</v>
      </c>
      <c r="AF41" s="48">
        <f>COUNTIFS($D$5:$D$65,"1",$S$5:$S$65,"Si")</f>
        <v>0</v>
      </c>
      <c r="AG41" s="48" t="s">
        <v>7</v>
      </c>
      <c r="AH41" s="48">
        <f>COUNTIFS($G$5:$G$65,"1",$S$5:$S$65,"Si")</f>
        <v>3</v>
      </c>
      <c r="AI41" s="48" t="s">
        <v>29</v>
      </c>
      <c r="AJ41" s="49">
        <f>COUNTIFS($I$5:$I$65,"Blanco",$S$5:$S$65,"Si")</f>
        <v>0</v>
      </c>
      <c r="AK41" s="50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x14ac:dyDescent="0.25">
      <c r="A42" s="3">
        <v>38</v>
      </c>
      <c r="B42" s="29"/>
      <c r="C42" s="28"/>
      <c r="D42" s="28"/>
      <c r="E42" s="28"/>
      <c r="F42" s="28"/>
      <c r="G42" s="28"/>
      <c r="H42" s="28"/>
      <c r="I42" s="28"/>
      <c r="J42" s="33"/>
      <c r="K42" s="28"/>
      <c r="L42" s="28"/>
      <c r="M42" s="28"/>
      <c r="N42" s="28"/>
      <c r="O42" s="28"/>
      <c r="P42" s="28"/>
      <c r="Q42" s="28"/>
      <c r="R42" s="28"/>
      <c r="S42" s="28"/>
      <c r="U42" s="109"/>
      <c r="V42" s="9" t="s">
        <v>25</v>
      </c>
      <c r="W42" s="15">
        <f>+COUNTIF(S5:S65,"No")</f>
        <v>14</v>
      </c>
      <c r="X42" s="126"/>
      <c r="Y42" s="6" t="s">
        <v>115</v>
      </c>
      <c r="Z42" s="51">
        <f>COUNTIFS($C$5:$C$65,"F",$S$5:$S$65,"Si")</f>
        <v>15</v>
      </c>
      <c r="AA42" s="126"/>
      <c r="AB42" s="6" t="s">
        <v>115</v>
      </c>
      <c r="AC42" s="57">
        <f>COUNTIFS($C$5:$C$65,"F",$S$5:$S$65,"No")</f>
        <v>7</v>
      </c>
      <c r="AD42" s="126"/>
      <c r="AE42" s="6" t="s">
        <v>5</v>
      </c>
      <c r="AF42" s="6">
        <f>COUNTIFS($E$5:$E$65,"1",$S$6:$S$66,"Si")</f>
        <v>6</v>
      </c>
      <c r="AG42" s="39" t="s">
        <v>8</v>
      </c>
      <c r="AH42" s="6">
        <f>COUNTIFS($H$5:$H$65,"1",$S$5:$S$65,"Si")</f>
        <v>4</v>
      </c>
      <c r="AI42" s="6"/>
      <c r="AJ42" s="51"/>
      <c r="AK42" s="50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5.75" thickBot="1" x14ac:dyDescent="0.3">
      <c r="A43" s="3">
        <v>39</v>
      </c>
      <c r="B43" s="29"/>
      <c r="C43" s="28"/>
      <c r="D43" s="28"/>
      <c r="E43" s="28"/>
      <c r="F43" s="28"/>
      <c r="G43" s="28"/>
      <c r="H43" s="28"/>
      <c r="I43" s="28"/>
      <c r="J43" s="33"/>
      <c r="K43" s="28"/>
      <c r="L43" s="28"/>
      <c r="M43" s="28"/>
      <c r="N43" s="28"/>
      <c r="O43" s="28"/>
      <c r="P43" s="28"/>
      <c r="Q43" s="28"/>
      <c r="R43" s="28"/>
      <c r="S43" s="28"/>
      <c r="U43" s="110"/>
      <c r="V43" s="13" t="s">
        <v>29</v>
      </c>
      <c r="W43" s="16">
        <f>+COUNTIF(S5:S65,"Blanco")</f>
        <v>0</v>
      </c>
      <c r="X43" s="127"/>
      <c r="Y43" s="26" t="s">
        <v>29</v>
      </c>
      <c r="Z43" s="52">
        <f>COUNTIFS($C$5:$C$65,"Blanco",$S$5:$S$65,"Si")</f>
        <v>0</v>
      </c>
      <c r="AA43" s="127"/>
      <c r="AB43" s="26" t="s">
        <v>29</v>
      </c>
      <c r="AC43" s="58">
        <f>COUNTIFS($C$5:$C$65,"Blanco",$S$5:$S$65,"No")</f>
        <v>0</v>
      </c>
      <c r="AD43" s="127"/>
      <c r="AE43" s="26" t="s">
        <v>6</v>
      </c>
      <c r="AF43" s="26">
        <f>COUNTIFS($F$5:$F$65,"1",$S$5:$S$65,"Si")</f>
        <v>10</v>
      </c>
      <c r="AG43" s="26" t="s">
        <v>9</v>
      </c>
      <c r="AH43" s="26">
        <f>COUNTIFS($I$5:$I$65,"1",$S$5:$S$65,"Si")</f>
        <v>0</v>
      </c>
      <c r="AI43" s="26"/>
      <c r="AJ43" s="52"/>
      <c r="AK43" s="50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x14ac:dyDescent="0.25">
      <c r="A44" s="3">
        <v>40</v>
      </c>
      <c r="B44" s="29"/>
      <c r="C44" s="28"/>
      <c r="D44" s="28"/>
      <c r="E44" s="28"/>
      <c r="F44" s="28"/>
      <c r="G44" s="28"/>
      <c r="H44" s="28"/>
      <c r="I44" s="28"/>
      <c r="J44" s="33"/>
      <c r="K44" s="28"/>
      <c r="L44" s="28"/>
      <c r="M44" s="28"/>
      <c r="N44" s="28"/>
      <c r="O44" s="28"/>
      <c r="P44" s="28"/>
      <c r="Q44" s="28"/>
      <c r="R44" s="28"/>
      <c r="S44" s="28"/>
    </row>
    <row r="45" spans="1:50" x14ac:dyDescent="0.25">
      <c r="A45" s="3">
        <v>41</v>
      </c>
      <c r="B45" s="29"/>
      <c r="C45" s="28"/>
      <c r="D45" s="28"/>
      <c r="E45" s="28"/>
      <c r="F45" s="28"/>
      <c r="G45" s="28"/>
      <c r="H45" s="28"/>
      <c r="I45" s="28"/>
      <c r="J45" s="33"/>
      <c r="K45" s="28"/>
      <c r="L45" s="28"/>
      <c r="M45" s="28"/>
      <c r="N45" s="28"/>
      <c r="O45" s="28"/>
      <c r="P45" s="28"/>
      <c r="Q45" s="28"/>
      <c r="R45" s="28"/>
      <c r="S45" s="28"/>
    </row>
    <row r="46" spans="1:50" x14ac:dyDescent="0.25">
      <c r="A46" s="3">
        <v>42</v>
      </c>
      <c r="B46" s="29"/>
      <c r="C46" s="28"/>
      <c r="D46" s="28"/>
      <c r="E46" s="28"/>
      <c r="F46" s="28"/>
      <c r="G46" s="28"/>
      <c r="H46" s="28"/>
      <c r="I46" s="28"/>
      <c r="J46" s="33"/>
      <c r="K46" s="28"/>
      <c r="L46" s="28"/>
      <c r="M46" s="28"/>
      <c r="N46" s="28"/>
      <c r="O46" s="28"/>
      <c r="P46" s="28"/>
      <c r="Q46" s="28"/>
      <c r="R46" s="28"/>
      <c r="S46" s="28"/>
    </row>
    <row r="47" spans="1:50" x14ac:dyDescent="0.25">
      <c r="A47" s="3">
        <v>43</v>
      </c>
      <c r="B47" s="29"/>
      <c r="C47" s="28"/>
      <c r="D47" s="28"/>
      <c r="E47" s="28"/>
      <c r="F47" s="28"/>
      <c r="G47" s="28"/>
      <c r="H47" s="28"/>
      <c r="I47" s="28"/>
      <c r="J47" s="33"/>
      <c r="K47" s="28"/>
      <c r="L47" s="28"/>
      <c r="M47" s="28"/>
      <c r="N47" s="28"/>
      <c r="O47" s="28"/>
      <c r="P47" s="28"/>
      <c r="Q47" s="28"/>
      <c r="R47" s="28"/>
      <c r="S47" s="28"/>
    </row>
    <row r="48" spans="1:50" x14ac:dyDescent="0.25">
      <c r="A48" s="3">
        <v>44</v>
      </c>
      <c r="B48" s="29"/>
      <c r="C48" s="28"/>
      <c r="D48" s="28"/>
      <c r="E48" s="28"/>
      <c r="F48" s="28"/>
      <c r="G48" s="28"/>
      <c r="H48" s="28"/>
      <c r="I48" s="28"/>
      <c r="J48" s="33"/>
      <c r="K48" s="28"/>
      <c r="L48" s="28"/>
      <c r="M48" s="28"/>
      <c r="N48" s="28"/>
      <c r="O48" s="28"/>
      <c r="P48" s="28"/>
      <c r="Q48" s="28"/>
      <c r="R48" s="28"/>
      <c r="S48" s="28"/>
    </row>
    <row r="49" spans="1:19" x14ac:dyDescent="0.25">
      <c r="A49" s="3">
        <v>45</v>
      </c>
      <c r="B49" s="29"/>
      <c r="C49" s="28"/>
      <c r="D49" s="28"/>
      <c r="E49" s="28"/>
      <c r="F49" s="28"/>
      <c r="G49" s="28"/>
      <c r="H49" s="28"/>
      <c r="I49" s="28"/>
      <c r="J49" s="33"/>
      <c r="K49" s="28"/>
      <c r="L49" s="28"/>
      <c r="M49" s="28"/>
      <c r="N49" s="28"/>
      <c r="O49" s="28"/>
      <c r="P49" s="28"/>
      <c r="Q49" s="28"/>
      <c r="R49" s="28"/>
      <c r="S49" s="28"/>
    </row>
    <row r="50" spans="1:19" x14ac:dyDescent="0.25">
      <c r="A50" s="3">
        <v>46</v>
      </c>
      <c r="B50" s="29"/>
      <c r="C50" s="28"/>
      <c r="D50" s="28"/>
      <c r="E50" s="28"/>
      <c r="F50" s="28"/>
      <c r="G50" s="28"/>
      <c r="H50" s="28"/>
      <c r="I50" s="28"/>
      <c r="J50" s="33"/>
      <c r="K50" s="28"/>
      <c r="L50" s="28"/>
      <c r="M50" s="28"/>
      <c r="N50" s="28"/>
      <c r="O50" s="28"/>
      <c r="P50" s="28"/>
      <c r="Q50" s="28"/>
      <c r="R50" s="28"/>
      <c r="S50" s="28"/>
    </row>
    <row r="51" spans="1:19" x14ac:dyDescent="0.25">
      <c r="A51" s="3">
        <v>47</v>
      </c>
      <c r="B51" s="29"/>
      <c r="C51" s="28"/>
      <c r="D51" s="28"/>
      <c r="E51" s="28"/>
      <c r="F51" s="28"/>
      <c r="G51" s="28"/>
      <c r="H51" s="28"/>
      <c r="I51" s="28"/>
      <c r="J51" s="33"/>
      <c r="K51" s="28"/>
      <c r="L51" s="28"/>
      <c r="M51" s="28"/>
      <c r="N51" s="28"/>
      <c r="O51" s="28"/>
      <c r="P51" s="28"/>
      <c r="Q51" s="28"/>
      <c r="R51" s="28"/>
      <c r="S51" s="28"/>
    </row>
    <row r="52" spans="1:19" x14ac:dyDescent="0.25">
      <c r="A52" s="3">
        <v>48</v>
      </c>
      <c r="B52" s="29"/>
      <c r="C52" s="28"/>
      <c r="D52" s="28"/>
      <c r="E52" s="28"/>
      <c r="F52" s="28"/>
      <c r="G52" s="28"/>
      <c r="H52" s="28"/>
      <c r="I52" s="28"/>
      <c r="J52" s="33"/>
      <c r="K52" s="28"/>
      <c r="L52" s="28"/>
      <c r="M52" s="28"/>
      <c r="N52" s="28"/>
      <c r="O52" s="28"/>
      <c r="P52" s="28"/>
      <c r="Q52" s="28"/>
      <c r="R52" s="28"/>
      <c r="S52" s="28"/>
    </row>
    <row r="53" spans="1:19" x14ac:dyDescent="0.25">
      <c r="A53" s="3">
        <v>49</v>
      </c>
      <c r="B53" s="29"/>
      <c r="C53" s="28"/>
      <c r="D53" s="28"/>
      <c r="E53" s="28"/>
      <c r="F53" s="28"/>
      <c r="G53" s="28"/>
      <c r="H53" s="28"/>
      <c r="I53" s="28"/>
      <c r="J53" s="33"/>
      <c r="K53" s="28"/>
      <c r="L53" s="28"/>
      <c r="M53" s="28"/>
      <c r="N53" s="28"/>
      <c r="O53" s="28"/>
      <c r="P53" s="28"/>
      <c r="Q53" s="28"/>
      <c r="R53" s="28"/>
      <c r="S53" s="28"/>
    </row>
    <row r="54" spans="1:19" x14ac:dyDescent="0.25">
      <c r="A54" s="3">
        <v>50</v>
      </c>
      <c r="B54" s="29"/>
      <c r="C54" s="28"/>
      <c r="D54" s="28"/>
      <c r="E54" s="28"/>
      <c r="F54" s="28"/>
      <c r="G54" s="28"/>
      <c r="H54" s="28"/>
      <c r="I54" s="28"/>
      <c r="J54" s="33"/>
      <c r="K54" s="28"/>
      <c r="L54" s="28"/>
      <c r="M54" s="28"/>
      <c r="N54" s="28"/>
      <c r="O54" s="28"/>
      <c r="P54" s="28"/>
      <c r="Q54" s="28"/>
      <c r="R54" s="28"/>
      <c r="S54" s="28"/>
    </row>
    <row r="55" spans="1:19" x14ac:dyDescent="0.25">
      <c r="A55" s="3">
        <v>51</v>
      </c>
      <c r="B55" s="29"/>
      <c r="C55" s="28"/>
      <c r="D55" s="28"/>
      <c r="E55" s="28"/>
      <c r="F55" s="28"/>
      <c r="G55" s="28"/>
      <c r="H55" s="28"/>
      <c r="I55" s="28"/>
      <c r="J55" s="33"/>
      <c r="K55" s="28"/>
      <c r="L55" s="28"/>
      <c r="M55" s="28"/>
      <c r="N55" s="28"/>
      <c r="O55" s="28"/>
      <c r="P55" s="28"/>
      <c r="Q55" s="28"/>
      <c r="R55" s="28"/>
      <c r="S55" s="28"/>
    </row>
    <row r="56" spans="1:19" x14ac:dyDescent="0.25">
      <c r="A56" s="3">
        <v>52</v>
      </c>
      <c r="B56" s="29"/>
      <c r="C56" s="28"/>
      <c r="D56" s="28"/>
      <c r="E56" s="28"/>
      <c r="F56" s="28"/>
      <c r="G56" s="28"/>
      <c r="H56" s="28"/>
      <c r="I56" s="28"/>
      <c r="J56" s="33"/>
      <c r="K56" s="28"/>
      <c r="L56" s="28"/>
      <c r="M56" s="28"/>
      <c r="N56" s="28"/>
      <c r="O56" s="28"/>
      <c r="P56" s="28"/>
      <c r="Q56" s="28"/>
      <c r="R56" s="28"/>
      <c r="S56" s="28"/>
    </row>
    <row r="57" spans="1:19" x14ac:dyDescent="0.25">
      <c r="A57" s="3">
        <v>53</v>
      </c>
      <c r="B57" s="29"/>
      <c r="C57" s="28"/>
      <c r="D57" s="28"/>
      <c r="E57" s="28"/>
      <c r="F57" s="28"/>
      <c r="G57" s="28"/>
      <c r="H57" s="28"/>
      <c r="I57" s="28"/>
      <c r="J57" s="33"/>
      <c r="K57" s="28"/>
      <c r="L57" s="28"/>
      <c r="M57" s="28"/>
      <c r="N57" s="28"/>
      <c r="O57" s="28"/>
      <c r="P57" s="28"/>
      <c r="Q57" s="28"/>
      <c r="R57" s="28"/>
      <c r="S57" s="28"/>
    </row>
    <row r="58" spans="1:19" x14ac:dyDescent="0.25">
      <c r="A58" s="3">
        <v>54</v>
      </c>
      <c r="B58" s="29"/>
      <c r="C58" s="28"/>
      <c r="D58" s="28"/>
      <c r="E58" s="28"/>
      <c r="F58" s="28"/>
      <c r="G58" s="28"/>
      <c r="H58" s="28"/>
      <c r="I58" s="28"/>
      <c r="J58" s="33"/>
      <c r="K58" s="28"/>
      <c r="L58" s="28"/>
      <c r="M58" s="28"/>
      <c r="N58" s="28"/>
      <c r="O58" s="28"/>
      <c r="P58" s="28"/>
      <c r="Q58" s="28"/>
      <c r="R58" s="28"/>
      <c r="S58" s="28"/>
    </row>
    <row r="59" spans="1:19" x14ac:dyDescent="0.25">
      <c r="A59" s="3">
        <v>55</v>
      </c>
      <c r="B59" s="29"/>
      <c r="C59" s="28"/>
      <c r="D59" s="28"/>
      <c r="E59" s="28"/>
      <c r="F59" s="28"/>
      <c r="G59" s="28"/>
      <c r="H59" s="28"/>
      <c r="I59" s="28"/>
      <c r="J59" s="33"/>
      <c r="K59" s="28"/>
      <c r="L59" s="28"/>
      <c r="M59" s="28"/>
      <c r="N59" s="28"/>
      <c r="O59" s="28"/>
      <c r="P59" s="28"/>
      <c r="Q59" s="28"/>
      <c r="R59" s="28"/>
      <c r="S59" s="28"/>
    </row>
    <row r="60" spans="1:19" x14ac:dyDescent="0.25">
      <c r="A60" s="3">
        <v>56</v>
      </c>
      <c r="B60" s="29"/>
      <c r="C60" s="28"/>
      <c r="D60" s="28"/>
      <c r="E60" s="28"/>
      <c r="F60" s="28"/>
      <c r="G60" s="28"/>
      <c r="H60" s="28"/>
      <c r="I60" s="28"/>
      <c r="J60" s="33"/>
      <c r="K60" s="28"/>
      <c r="L60" s="28"/>
      <c r="M60" s="28"/>
      <c r="N60" s="28"/>
      <c r="O60" s="28"/>
      <c r="P60" s="28"/>
      <c r="Q60" s="28"/>
      <c r="R60" s="28"/>
      <c r="S60" s="28"/>
    </row>
    <row r="61" spans="1:19" x14ac:dyDescent="0.25">
      <c r="A61" s="3">
        <v>57</v>
      </c>
      <c r="B61" s="29"/>
      <c r="C61" s="28"/>
      <c r="D61" s="28"/>
      <c r="E61" s="28"/>
      <c r="F61" s="28"/>
      <c r="G61" s="28"/>
      <c r="H61" s="28"/>
      <c r="I61" s="28"/>
      <c r="J61" s="33"/>
      <c r="K61" s="28"/>
      <c r="L61" s="28"/>
      <c r="M61" s="28"/>
      <c r="N61" s="28"/>
      <c r="O61" s="28"/>
      <c r="P61" s="28"/>
      <c r="Q61" s="28"/>
      <c r="R61" s="28"/>
      <c r="S61" s="28"/>
    </row>
    <row r="62" spans="1:19" x14ac:dyDescent="0.25">
      <c r="A62" s="3">
        <v>58</v>
      </c>
      <c r="B62" s="29"/>
      <c r="C62" s="28"/>
      <c r="D62" s="28"/>
      <c r="E62" s="28"/>
      <c r="F62" s="28"/>
      <c r="G62" s="28"/>
      <c r="H62" s="28"/>
      <c r="I62" s="28"/>
      <c r="J62" s="33"/>
      <c r="K62" s="28"/>
      <c r="L62" s="28"/>
      <c r="M62" s="28"/>
      <c r="N62" s="28"/>
      <c r="O62" s="28"/>
      <c r="P62" s="28"/>
      <c r="Q62" s="28"/>
      <c r="R62" s="28"/>
      <c r="S62" s="28"/>
    </row>
    <row r="63" spans="1:19" x14ac:dyDescent="0.25">
      <c r="A63" s="3">
        <v>59</v>
      </c>
      <c r="B63" s="29"/>
      <c r="C63" s="28"/>
      <c r="D63" s="28"/>
      <c r="E63" s="28"/>
      <c r="F63" s="28"/>
      <c r="G63" s="28"/>
      <c r="H63" s="28"/>
      <c r="I63" s="28"/>
      <c r="J63" s="33"/>
      <c r="K63" s="28"/>
      <c r="L63" s="28"/>
      <c r="M63" s="28"/>
      <c r="N63" s="28"/>
      <c r="O63" s="28"/>
      <c r="P63" s="28"/>
      <c r="Q63" s="28"/>
      <c r="R63" s="28"/>
      <c r="S63" s="28"/>
    </row>
    <row r="64" spans="1:19" x14ac:dyDescent="0.25">
      <c r="A64" s="3">
        <v>60</v>
      </c>
      <c r="B64" s="29"/>
      <c r="C64" s="28"/>
      <c r="D64" s="28"/>
      <c r="E64" s="28"/>
      <c r="F64" s="28"/>
      <c r="G64" s="28"/>
      <c r="H64" s="28"/>
      <c r="I64" s="28"/>
      <c r="J64" s="33"/>
      <c r="K64" s="28"/>
      <c r="L64" s="28"/>
      <c r="M64" s="28"/>
      <c r="N64" s="28"/>
      <c r="O64" s="28"/>
      <c r="P64" s="28"/>
      <c r="Q64" s="28"/>
      <c r="R64" s="28"/>
      <c r="S64" s="28"/>
    </row>
    <row r="65" spans="1:19" x14ac:dyDescent="0.25">
      <c r="A65" s="3">
        <v>61</v>
      </c>
      <c r="B65" s="29"/>
      <c r="C65" s="28"/>
      <c r="D65" s="28"/>
      <c r="E65" s="28"/>
      <c r="F65" s="28"/>
      <c r="G65" s="28"/>
      <c r="H65" s="28"/>
      <c r="I65" s="28"/>
      <c r="J65" s="33"/>
      <c r="K65" s="28"/>
      <c r="L65" s="28"/>
      <c r="M65" s="28"/>
      <c r="N65" s="28"/>
      <c r="O65" s="28"/>
      <c r="P65" s="28"/>
      <c r="Q65" s="28"/>
      <c r="R65" s="28"/>
      <c r="S65" s="28"/>
    </row>
  </sheetData>
  <mergeCells count="58">
    <mergeCell ref="X41:X43"/>
    <mergeCell ref="AA41:AA43"/>
    <mergeCell ref="AD41:AD43"/>
    <mergeCell ref="AG34:AG36"/>
    <mergeCell ref="AK34:AK36"/>
    <mergeCell ref="AR34:AR36"/>
    <mergeCell ref="X38:X40"/>
    <mergeCell ref="AA38:AA40"/>
    <mergeCell ref="AD38:AD40"/>
    <mergeCell ref="X31:X33"/>
    <mergeCell ref="AA31:AA33"/>
    <mergeCell ref="AD31:AD33"/>
    <mergeCell ref="X34:X36"/>
    <mergeCell ref="AA34:AA36"/>
    <mergeCell ref="AD34:AD36"/>
    <mergeCell ref="X25:X27"/>
    <mergeCell ref="AA25:AA27"/>
    <mergeCell ref="AD25:AD27"/>
    <mergeCell ref="X28:X30"/>
    <mergeCell ref="AA28:AA30"/>
    <mergeCell ref="AD28:AD30"/>
    <mergeCell ref="X19:X21"/>
    <mergeCell ref="AA19:AA21"/>
    <mergeCell ref="AD19:AD21"/>
    <mergeCell ref="X22:X24"/>
    <mergeCell ref="AA22:AA24"/>
    <mergeCell ref="AD22:AD24"/>
    <mergeCell ref="A1:S1"/>
    <mergeCell ref="U1:W1"/>
    <mergeCell ref="A2:S2"/>
    <mergeCell ref="U2:V2"/>
    <mergeCell ref="A3:A4"/>
    <mergeCell ref="B3:B4"/>
    <mergeCell ref="C3:C4"/>
    <mergeCell ref="D3:I3"/>
    <mergeCell ref="J3:J4"/>
    <mergeCell ref="K3:K4"/>
    <mergeCell ref="U6:U12"/>
    <mergeCell ref="L3:L4"/>
    <mergeCell ref="M3:M4"/>
    <mergeCell ref="N3:N4"/>
    <mergeCell ref="O3:O4"/>
    <mergeCell ref="P3:P4"/>
    <mergeCell ref="Q3:Q4"/>
    <mergeCell ref="R3:R4"/>
    <mergeCell ref="S3:S4"/>
    <mergeCell ref="U3:V3"/>
    <mergeCell ref="U4:V4"/>
    <mergeCell ref="U5:V5"/>
    <mergeCell ref="U34:U37"/>
    <mergeCell ref="U38:U40"/>
    <mergeCell ref="U41:U43"/>
    <mergeCell ref="U13:U18"/>
    <mergeCell ref="U19:U21"/>
    <mergeCell ref="U22:U24"/>
    <mergeCell ref="U25:U27"/>
    <mergeCell ref="U28:U30"/>
    <mergeCell ref="U31:U33"/>
  </mergeCell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41"/>
  <sheetViews>
    <sheetView topLeftCell="V1" zoomScale="50" zoomScaleNormal="50" workbookViewId="0">
      <selection activeCell="AX31" sqref="AT31:AX33"/>
    </sheetView>
  </sheetViews>
  <sheetFormatPr baseColWidth="10" defaultRowHeight="15" x14ac:dyDescent="0.25"/>
  <cols>
    <col min="1" max="1" width="4.140625" style="1" bestFit="1" customWidth="1"/>
    <col min="2" max="2" width="17.42578125" customWidth="1"/>
    <col min="4" max="4" width="9.7109375" bestFit="1" customWidth="1"/>
    <col min="5" max="5" width="10.140625" bestFit="1" customWidth="1"/>
    <col min="6" max="6" width="9.7109375" bestFit="1" customWidth="1"/>
    <col min="7" max="7" width="10.140625" bestFit="1" customWidth="1"/>
    <col min="8" max="8" width="9.7109375" bestFit="1" customWidth="1"/>
    <col min="9" max="9" width="14.140625" customWidth="1"/>
    <col min="10" max="10" width="20.140625" bestFit="1" customWidth="1"/>
    <col min="11" max="11" width="16.85546875" customWidth="1"/>
    <col min="12" max="19" width="14.28515625" customWidth="1"/>
    <col min="21" max="21" width="48.42578125" style="7" customWidth="1"/>
    <col min="22" max="22" width="20.85546875" bestFit="1" customWidth="1"/>
    <col min="23" max="23" width="11.42578125" style="1"/>
  </cols>
  <sheetData>
    <row r="1" spans="1:50" ht="15.75" thickBot="1" x14ac:dyDescent="0.3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U1" s="144" t="s">
        <v>46</v>
      </c>
      <c r="V1" s="145"/>
      <c r="W1" s="148"/>
    </row>
    <row r="2" spans="1:50" ht="15.75" thickBot="1" x14ac:dyDescent="0.3">
      <c r="A2" s="123" t="s">
        <v>21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U2" s="144" t="s">
        <v>44</v>
      </c>
      <c r="V2" s="145"/>
      <c r="W2" s="17">
        <f>+COUNTIF(C5:C40,"M")</f>
        <v>16</v>
      </c>
    </row>
    <row r="3" spans="1:50" ht="15.75" customHeight="1" thickBot="1" x14ac:dyDescent="0.3">
      <c r="A3" s="149" t="s">
        <v>22</v>
      </c>
      <c r="B3" s="151" t="s">
        <v>2</v>
      </c>
      <c r="C3" s="149" t="s">
        <v>1</v>
      </c>
      <c r="D3" s="123" t="s">
        <v>3</v>
      </c>
      <c r="E3" s="123"/>
      <c r="F3" s="123"/>
      <c r="G3" s="123"/>
      <c r="H3" s="123"/>
      <c r="I3" s="123"/>
      <c r="J3" s="149" t="s">
        <v>11</v>
      </c>
      <c r="K3" s="149" t="s">
        <v>10</v>
      </c>
      <c r="L3" s="142" t="s">
        <v>12</v>
      </c>
      <c r="M3" s="142" t="s">
        <v>13</v>
      </c>
      <c r="N3" s="142" t="s">
        <v>14</v>
      </c>
      <c r="O3" s="142" t="s">
        <v>15</v>
      </c>
      <c r="P3" s="142" t="s">
        <v>16</v>
      </c>
      <c r="Q3" s="142" t="s">
        <v>17</v>
      </c>
      <c r="R3" s="142" t="s">
        <v>18</v>
      </c>
      <c r="S3" s="142" t="s">
        <v>19</v>
      </c>
      <c r="U3" s="144" t="s">
        <v>45</v>
      </c>
      <c r="V3" s="145"/>
      <c r="W3" s="17">
        <f>+COUNTIF(C5:C40,"F")</f>
        <v>20</v>
      </c>
    </row>
    <row r="4" spans="1:50" ht="15.75" customHeight="1" thickBot="1" x14ac:dyDescent="0.3">
      <c r="A4" s="150"/>
      <c r="B4" s="152"/>
      <c r="C4" s="150"/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150"/>
      <c r="K4" s="150"/>
      <c r="L4" s="143"/>
      <c r="M4" s="143"/>
      <c r="N4" s="143"/>
      <c r="O4" s="143"/>
      <c r="P4" s="143"/>
      <c r="Q4" s="143"/>
      <c r="R4" s="143"/>
      <c r="S4" s="143"/>
      <c r="U4" s="146" t="s">
        <v>29</v>
      </c>
      <c r="V4" s="147"/>
      <c r="W4" s="17">
        <f>+COUNTIF(C5:C40,"Blanco")</f>
        <v>0</v>
      </c>
    </row>
    <row r="5" spans="1:50" ht="15.75" thickBot="1" x14ac:dyDescent="0.3">
      <c r="A5" s="3">
        <v>1</v>
      </c>
      <c r="B5" s="29">
        <v>42930</v>
      </c>
      <c r="C5" s="28" t="s">
        <v>23</v>
      </c>
      <c r="D5" s="28"/>
      <c r="E5" s="28">
        <v>1</v>
      </c>
      <c r="F5" s="28"/>
      <c r="G5" s="28"/>
      <c r="H5" s="28"/>
      <c r="I5" s="28"/>
      <c r="J5" s="28" t="s">
        <v>55</v>
      </c>
      <c r="K5" s="28" t="s">
        <v>56</v>
      </c>
      <c r="L5" s="28" t="s">
        <v>20</v>
      </c>
      <c r="M5" s="28" t="s">
        <v>20</v>
      </c>
      <c r="N5" s="28" t="s">
        <v>20</v>
      </c>
      <c r="O5" s="28" t="s">
        <v>25</v>
      </c>
      <c r="P5" s="28" t="s">
        <v>25</v>
      </c>
      <c r="Q5" s="28" t="s">
        <v>27</v>
      </c>
      <c r="R5" s="28" t="s">
        <v>20</v>
      </c>
      <c r="S5" s="28" t="s">
        <v>20</v>
      </c>
      <c r="U5" s="146" t="s">
        <v>47</v>
      </c>
      <c r="V5" s="147"/>
      <c r="W5" s="18">
        <f>SUM(W2:W4)</f>
        <v>36</v>
      </c>
    </row>
    <row r="6" spans="1:50" x14ac:dyDescent="0.25">
      <c r="A6" s="3">
        <v>2</v>
      </c>
      <c r="B6" s="29">
        <v>42930</v>
      </c>
      <c r="C6" s="28" t="s">
        <v>23</v>
      </c>
      <c r="D6" s="28"/>
      <c r="E6" s="28"/>
      <c r="F6" s="28"/>
      <c r="G6" s="28"/>
      <c r="H6" s="28">
        <v>1</v>
      </c>
      <c r="I6" s="28"/>
      <c r="J6" s="28" t="s">
        <v>55</v>
      </c>
      <c r="K6" s="28" t="s">
        <v>56</v>
      </c>
      <c r="L6" s="28" t="s">
        <v>20</v>
      </c>
      <c r="M6" s="28" t="s">
        <v>20</v>
      </c>
      <c r="N6" s="28" t="s">
        <v>25</v>
      </c>
      <c r="O6" s="28" t="s">
        <v>25</v>
      </c>
      <c r="P6" s="28" t="s">
        <v>25</v>
      </c>
      <c r="Q6" s="28" t="s">
        <v>27</v>
      </c>
      <c r="R6" s="28" t="s">
        <v>20</v>
      </c>
      <c r="S6" s="28" t="s">
        <v>20</v>
      </c>
      <c r="U6" s="140" t="s">
        <v>3</v>
      </c>
      <c r="V6" s="11" t="s">
        <v>4</v>
      </c>
      <c r="W6" s="14">
        <f>+COUNTIF(D4:D40,"1")</f>
        <v>2</v>
      </c>
    </row>
    <row r="7" spans="1:50" x14ac:dyDescent="0.25">
      <c r="A7" s="3">
        <v>3</v>
      </c>
      <c r="B7" s="29">
        <v>42930</v>
      </c>
      <c r="C7" s="28" t="s">
        <v>23</v>
      </c>
      <c r="D7" s="28"/>
      <c r="E7" s="28"/>
      <c r="F7" s="28"/>
      <c r="G7" s="28"/>
      <c r="H7" s="28">
        <v>1</v>
      </c>
      <c r="I7" s="28"/>
      <c r="J7" s="28" t="s">
        <v>55</v>
      </c>
      <c r="K7" s="28" t="s">
        <v>56</v>
      </c>
      <c r="L7" s="28" t="s">
        <v>20</v>
      </c>
      <c r="M7" s="28" t="s">
        <v>20</v>
      </c>
      <c r="N7" s="28" t="s">
        <v>25</v>
      </c>
      <c r="O7" s="28" t="s">
        <v>25</v>
      </c>
      <c r="P7" s="28" t="s">
        <v>25</v>
      </c>
      <c r="Q7" s="28" t="s">
        <v>27</v>
      </c>
      <c r="R7" s="28" t="s">
        <v>20</v>
      </c>
      <c r="S7" s="28" t="s">
        <v>20</v>
      </c>
      <c r="U7" s="141"/>
      <c r="V7" s="8" t="s">
        <v>5</v>
      </c>
      <c r="W7" s="15">
        <f>+COUNTIF(E5:E40,"1")</f>
        <v>3</v>
      </c>
    </row>
    <row r="8" spans="1:50" x14ac:dyDescent="0.25">
      <c r="A8" s="3">
        <v>4</v>
      </c>
      <c r="B8" s="29">
        <v>42930</v>
      </c>
      <c r="C8" s="28" t="s">
        <v>23</v>
      </c>
      <c r="D8" s="28"/>
      <c r="E8" s="28"/>
      <c r="F8" s="28">
        <v>1</v>
      </c>
      <c r="G8" s="28"/>
      <c r="H8" s="28"/>
      <c r="I8" s="28"/>
      <c r="J8" s="28" t="s">
        <v>55</v>
      </c>
      <c r="K8" s="28" t="s">
        <v>56</v>
      </c>
      <c r="L8" s="28" t="s">
        <v>25</v>
      </c>
      <c r="M8" s="28" t="s">
        <v>25</v>
      </c>
      <c r="N8" s="28" t="s">
        <v>25</v>
      </c>
      <c r="O8" s="28" t="s">
        <v>25</v>
      </c>
      <c r="P8" s="28" t="s">
        <v>25</v>
      </c>
      <c r="Q8" s="28" t="s">
        <v>27</v>
      </c>
      <c r="R8" s="28" t="s">
        <v>25</v>
      </c>
      <c r="S8" s="28" t="s">
        <v>25</v>
      </c>
      <c r="U8" s="141"/>
      <c r="V8" s="8" t="s">
        <v>6</v>
      </c>
      <c r="W8" s="15">
        <f>+COUNTIF(F5:F40,"1")</f>
        <v>7</v>
      </c>
    </row>
    <row r="9" spans="1:50" x14ac:dyDescent="0.25">
      <c r="A9" s="3">
        <v>5</v>
      </c>
      <c r="B9" s="29">
        <v>42930</v>
      </c>
      <c r="C9" s="28" t="s">
        <v>30</v>
      </c>
      <c r="D9" s="28"/>
      <c r="E9" s="28"/>
      <c r="F9" s="28"/>
      <c r="G9" s="28"/>
      <c r="H9" s="28"/>
      <c r="I9" s="28">
        <v>1</v>
      </c>
      <c r="J9" s="28" t="s">
        <v>55</v>
      </c>
      <c r="K9" s="28" t="s">
        <v>56</v>
      </c>
      <c r="L9" s="28" t="s">
        <v>25</v>
      </c>
      <c r="M9" s="28" t="s">
        <v>25</v>
      </c>
      <c r="N9" s="28" t="s">
        <v>25</v>
      </c>
      <c r="O9" s="28" t="s">
        <v>25</v>
      </c>
      <c r="P9" s="28" t="s">
        <v>25</v>
      </c>
      <c r="Q9" s="28" t="s">
        <v>28</v>
      </c>
      <c r="R9" s="28" t="s">
        <v>25</v>
      </c>
      <c r="S9" s="28" t="s">
        <v>25</v>
      </c>
      <c r="U9" s="141"/>
      <c r="V9" s="8" t="s">
        <v>7</v>
      </c>
      <c r="W9" s="15">
        <f>+COUNTIF(G5:G40,"1")</f>
        <v>5</v>
      </c>
    </row>
    <row r="10" spans="1:50" x14ac:dyDescent="0.25">
      <c r="A10" s="3">
        <v>6</v>
      </c>
      <c r="B10" s="29">
        <v>42930</v>
      </c>
      <c r="C10" s="28" t="s">
        <v>30</v>
      </c>
      <c r="D10" s="28">
        <v>1</v>
      </c>
      <c r="E10" s="28"/>
      <c r="F10" s="28"/>
      <c r="G10" s="28"/>
      <c r="H10" s="28"/>
      <c r="I10" s="28"/>
      <c r="J10" s="28" t="s">
        <v>55</v>
      </c>
      <c r="K10" s="28" t="s">
        <v>56</v>
      </c>
      <c r="L10" s="28" t="s">
        <v>20</v>
      </c>
      <c r="M10" s="28" t="s">
        <v>20</v>
      </c>
      <c r="N10" s="28" t="s">
        <v>20</v>
      </c>
      <c r="O10" s="28" t="s">
        <v>25</v>
      </c>
      <c r="P10" s="28" t="s">
        <v>20</v>
      </c>
      <c r="Q10" s="28" t="s">
        <v>27</v>
      </c>
      <c r="R10" s="28" t="s">
        <v>20</v>
      </c>
      <c r="S10" s="28" t="s">
        <v>20</v>
      </c>
      <c r="U10" s="141"/>
      <c r="V10" s="8" t="s">
        <v>8</v>
      </c>
      <c r="W10" s="15">
        <f>+COUNTIF(H5:H40,"1")</f>
        <v>8</v>
      </c>
    </row>
    <row r="11" spans="1:50" x14ac:dyDescent="0.25">
      <c r="A11" s="3">
        <v>7</v>
      </c>
      <c r="B11" s="29">
        <v>42930</v>
      </c>
      <c r="C11" s="28" t="s">
        <v>30</v>
      </c>
      <c r="D11" s="28"/>
      <c r="E11" s="28">
        <v>1</v>
      </c>
      <c r="F11" s="28"/>
      <c r="G11" s="28"/>
      <c r="H11" s="28"/>
      <c r="I11" s="28"/>
      <c r="J11" s="28" t="s">
        <v>55</v>
      </c>
      <c r="K11" s="28" t="s">
        <v>56</v>
      </c>
      <c r="L11" s="28" t="s">
        <v>20</v>
      </c>
      <c r="M11" s="28" t="s">
        <v>20</v>
      </c>
      <c r="N11" s="28" t="s">
        <v>20</v>
      </c>
      <c r="O11" s="28" t="s">
        <v>25</v>
      </c>
      <c r="P11" s="28" t="s">
        <v>20</v>
      </c>
      <c r="Q11" s="28" t="s">
        <v>27</v>
      </c>
      <c r="R11" s="28" t="s">
        <v>20</v>
      </c>
      <c r="S11" s="28" t="s">
        <v>20</v>
      </c>
      <c r="U11" s="141"/>
      <c r="V11" s="22" t="s">
        <v>9</v>
      </c>
      <c r="W11" s="23">
        <f>+COUNTIF(I5:I40,"1")</f>
        <v>9</v>
      </c>
    </row>
    <row r="12" spans="1:50" ht="15.75" thickBot="1" x14ac:dyDescent="0.3">
      <c r="A12" s="3">
        <v>8</v>
      </c>
      <c r="B12" s="29">
        <v>42930</v>
      </c>
      <c r="C12" s="28" t="s">
        <v>23</v>
      </c>
      <c r="D12" s="28"/>
      <c r="E12" s="28"/>
      <c r="F12" s="28">
        <v>1</v>
      </c>
      <c r="G12" s="28"/>
      <c r="H12" s="28"/>
      <c r="I12" s="28"/>
      <c r="J12" s="28" t="s">
        <v>55</v>
      </c>
      <c r="K12" s="28" t="s">
        <v>56</v>
      </c>
      <c r="L12" s="28" t="s">
        <v>20</v>
      </c>
      <c r="M12" s="28" t="s">
        <v>20</v>
      </c>
      <c r="N12" s="28" t="s">
        <v>20</v>
      </c>
      <c r="O12" s="28" t="s">
        <v>25</v>
      </c>
      <c r="P12" s="28" t="s">
        <v>20</v>
      </c>
      <c r="Q12" s="28" t="s">
        <v>27</v>
      </c>
      <c r="R12" s="28" t="s">
        <v>20</v>
      </c>
      <c r="S12" s="28" t="s">
        <v>20</v>
      </c>
      <c r="U12" s="155"/>
      <c r="V12" s="26" t="s">
        <v>29</v>
      </c>
      <c r="W12" s="16">
        <f>+COUNTIF(I5:I40,"Blanco")</f>
        <v>2</v>
      </c>
    </row>
    <row r="13" spans="1:50" x14ac:dyDescent="0.25">
      <c r="A13" s="3">
        <v>9</v>
      </c>
      <c r="B13" s="29">
        <v>42930</v>
      </c>
      <c r="C13" s="28" t="s">
        <v>23</v>
      </c>
      <c r="D13" s="28"/>
      <c r="E13" s="28"/>
      <c r="F13" s="28"/>
      <c r="G13" s="28">
        <v>1</v>
      </c>
      <c r="H13" s="28"/>
      <c r="I13" s="28"/>
      <c r="J13" s="28" t="s">
        <v>55</v>
      </c>
      <c r="K13" s="28" t="s">
        <v>56</v>
      </c>
      <c r="L13" s="28" t="s">
        <v>20</v>
      </c>
      <c r="M13" s="28" t="s">
        <v>20</v>
      </c>
      <c r="N13" s="28" t="s">
        <v>20</v>
      </c>
      <c r="O13" s="28" t="s">
        <v>25</v>
      </c>
      <c r="P13" s="28" t="s">
        <v>20</v>
      </c>
      <c r="Q13" s="28" t="s">
        <v>27</v>
      </c>
      <c r="R13" s="28" t="s">
        <v>20</v>
      </c>
      <c r="S13" s="28" t="s">
        <v>25</v>
      </c>
      <c r="U13" s="139" t="s">
        <v>35</v>
      </c>
      <c r="V13" s="24" t="s">
        <v>55</v>
      </c>
      <c r="W13" s="25">
        <f>+COUNTIF(K5:K40,"Santa Barbará")</f>
        <v>15</v>
      </c>
    </row>
    <row r="14" spans="1:50" x14ac:dyDescent="0.25">
      <c r="A14" s="3">
        <v>10</v>
      </c>
      <c r="B14" s="29">
        <v>42930</v>
      </c>
      <c r="C14" s="28" t="s">
        <v>23</v>
      </c>
      <c r="D14" s="28"/>
      <c r="E14" s="28"/>
      <c r="F14" s="28">
        <v>1</v>
      </c>
      <c r="G14" s="28"/>
      <c r="H14" s="28"/>
      <c r="I14" s="28"/>
      <c r="J14" s="28" t="s">
        <v>55</v>
      </c>
      <c r="K14" s="28" t="s">
        <v>56</v>
      </c>
      <c r="L14" s="28" t="s">
        <v>20</v>
      </c>
      <c r="M14" s="28" t="s">
        <v>20</v>
      </c>
      <c r="N14" s="28" t="s">
        <v>20</v>
      </c>
      <c r="O14" s="28" t="s">
        <v>25</v>
      </c>
      <c r="P14" s="28" t="s">
        <v>25</v>
      </c>
      <c r="Q14" s="28" t="s">
        <v>27</v>
      </c>
      <c r="R14" s="28" t="s">
        <v>20</v>
      </c>
      <c r="S14" s="28" t="s">
        <v>20</v>
      </c>
      <c r="U14" s="109"/>
      <c r="V14" s="1" t="s">
        <v>57</v>
      </c>
      <c r="W14" s="15">
        <f>+COUNTIF(K5:K40,"Ceguaca")</f>
        <v>11</v>
      </c>
    </row>
    <row r="15" spans="1:50" ht="15.75" thickBot="1" x14ac:dyDescent="0.3">
      <c r="A15" s="3">
        <v>11</v>
      </c>
      <c r="B15" s="29">
        <v>42930</v>
      </c>
      <c r="C15" s="28" t="s">
        <v>30</v>
      </c>
      <c r="D15" s="28"/>
      <c r="E15" s="28"/>
      <c r="F15" s="28"/>
      <c r="G15" s="28"/>
      <c r="H15" s="28"/>
      <c r="I15" s="28">
        <v>1</v>
      </c>
      <c r="J15" s="28" t="s">
        <v>55</v>
      </c>
      <c r="K15" s="28" t="s">
        <v>56</v>
      </c>
      <c r="L15" s="28" t="s">
        <v>20</v>
      </c>
      <c r="M15" s="28" t="s">
        <v>25</v>
      </c>
      <c r="N15" s="28" t="s">
        <v>25</v>
      </c>
      <c r="O15" s="28" t="s">
        <v>25</v>
      </c>
      <c r="P15" s="28" t="s">
        <v>25</v>
      </c>
      <c r="Q15" s="28" t="s">
        <v>27</v>
      </c>
      <c r="R15" s="28" t="s">
        <v>20</v>
      </c>
      <c r="S15" s="28" t="s">
        <v>20</v>
      </c>
      <c r="U15" s="110"/>
      <c r="V15" s="27" t="s">
        <v>58</v>
      </c>
      <c r="W15" s="16">
        <f>+COUNTIF(K5:K40,"San Vicente")</f>
        <v>10</v>
      </c>
    </row>
    <row r="16" spans="1:50" ht="15" customHeight="1" x14ac:dyDescent="0.25">
      <c r="A16" s="3">
        <v>12</v>
      </c>
      <c r="B16" s="29">
        <v>42930</v>
      </c>
      <c r="C16" s="28" t="s">
        <v>30</v>
      </c>
      <c r="D16" s="28"/>
      <c r="E16" s="28"/>
      <c r="F16" s="28"/>
      <c r="G16" s="28">
        <v>1</v>
      </c>
      <c r="H16" s="28"/>
      <c r="I16" s="28"/>
      <c r="J16" s="28" t="s">
        <v>55</v>
      </c>
      <c r="K16" s="28" t="s">
        <v>56</v>
      </c>
      <c r="L16" s="28" t="s">
        <v>25</v>
      </c>
      <c r="M16" s="28" t="s">
        <v>25</v>
      </c>
      <c r="N16" s="28" t="s">
        <v>25</v>
      </c>
      <c r="O16" s="28" t="s">
        <v>25</v>
      </c>
      <c r="P16" s="28" t="s">
        <v>25</v>
      </c>
      <c r="Q16" s="28" t="s">
        <v>28</v>
      </c>
      <c r="R16" s="28" t="s">
        <v>20</v>
      </c>
      <c r="S16" s="28" t="s">
        <v>25</v>
      </c>
      <c r="U16" s="137" t="s">
        <v>36</v>
      </c>
      <c r="V16" s="12" t="s">
        <v>20</v>
      </c>
      <c r="W16" s="14">
        <f>+COUNTIF(L5:L40,"Si")</f>
        <v>30</v>
      </c>
      <c r="X16" s="125" t="s">
        <v>118</v>
      </c>
      <c r="Y16" s="48" t="s">
        <v>114</v>
      </c>
      <c r="Z16" s="49">
        <f>COUNTIFS($C$5:$C$65,"M",$L$5:$L$65,"Si")</f>
        <v>11</v>
      </c>
      <c r="AA16" s="125" t="s">
        <v>117</v>
      </c>
      <c r="AB16" s="48" t="s">
        <v>114</v>
      </c>
      <c r="AC16" s="55">
        <f>COUNTIFS($C$5:$C$65,"M",$L$5:$L$65,"No")</f>
        <v>5</v>
      </c>
      <c r="AD16" s="125" t="s">
        <v>118</v>
      </c>
      <c r="AE16" s="48" t="s">
        <v>4</v>
      </c>
      <c r="AF16" s="48">
        <f>COUNTIFS($D$5:$D$65,"1",$L$5:$L$65,"Si")</f>
        <v>1</v>
      </c>
      <c r="AG16" s="48" t="s">
        <v>7</v>
      </c>
      <c r="AH16" s="48">
        <f>COUNTIFS($G$5:$G$65,"1",$L$5:$L$65,"Si")</f>
        <v>4</v>
      </c>
      <c r="AI16" s="48" t="s">
        <v>29</v>
      </c>
      <c r="AJ16" s="49">
        <f>COUNTIFS($I$5:$I$65,"Blanco",$L$5:$L$65,"Si")</f>
        <v>2</v>
      </c>
      <c r="AK16" s="50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x14ac:dyDescent="0.25">
      <c r="A17" s="3">
        <v>13</v>
      </c>
      <c r="B17" s="29">
        <v>42930</v>
      </c>
      <c r="C17" s="28" t="s">
        <v>23</v>
      </c>
      <c r="D17" s="28"/>
      <c r="E17" s="28"/>
      <c r="F17" s="28"/>
      <c r="G17" s="28"/>
      <c r="H17" s="28">
        <v>1</v>
      </c>
      <c r="I17" s="28"/>
      <c r="J17" s="28" t="s">
        <v>55</v>
      </c>
      <c r="K17" s="28" t="s">
        <v>56</v>
      </c>
      <c r="L17" s="28" t="s">
        <v>20</v>
      </c>
      <c r="M17" s="28" t="s">
        <v>20</v>
      </c>
      <c r="N17" s="28" t="s">
        <v>25</v>
      </c>
      <c r="O17" s="28" t="s">
        <v>25</v>
      </c>
      <c r="P17" s="28" t="s">
        <v>25</v>
      </c>
      <c r="Q17" s="28" t="s">
        <v>27</v>
      </c>
      <c r="R17" s="28" t="s">
        <v>20</v>
      </c>
      <c r="S17" s="28" t="s">
        <v>25</v>
      </c>
      <c r="U17" s="109"/>
      <c r="V17" s="9" t="s">
        <v>25</v>
      </c>
      <c r="W17" s="15">
        <f>+COUNTIF(L5:L40,"No")</f>
        <v>6</v>
      </c>
      <c r="X17" s="126"/>
      <c r="Y17" s="6" t="s">
        <v>115</v>
      </c>
      <c r="Z17" s="51">
        <f>COUNTIFS($C$5:$C$65,"F",$L$5:$L$65,"Si")</f>
        <v>19</v>
      </c>
      <c r="AA17" s="126"/>
      <c r="AB17" s="6" t="s">
        <v>115</v>
      </c>
      <c r="AC17" s="57">
        <f>COUNTIFS($C$5:$C$65,"F",$L$5:$L$65,"No")</f>
        <v>1</v>
      </c>
      <c r="AD17" s="126"/>
      <c r="AE17" s="6" t="s">
        <v>5</v>
      </c>
      <c r="AF17" s="6">
        <f>COUNTIFS($E$5:$E$65,"1",$L$5:$L$65,"Si")</f>
        <v>3</v>
      </c>
      <c r="AG17" s="39" t="s">
        <v>8</v>
      </c>
      <c r="AH17" s="6">
        <f>COUNTIFS($H$5:$H$65,"1",$L$5:$L$65,"Si")</f>
        <v>8</v>
      </c>
      <c r="AI17" s="6"/>
      <c r="AJ17" s="51"/>
      <c r="AK17" s="50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5.75" thickBot="1" x14ac:dyDescent="0.3">
      <c r="A18" s="3">
        <v>14</v>
      </c>
      <c r="B18" s="29">
        <v>42930</v>
      </c>
      <c r="C18" s="28" t="s">
        <v>23</v>
      </c>
      <c r="D18" s="28"/>
      <c r="E18" s="28"/>
      <c r="F18" s="28">
        <v>1</v>
      </c>
      <c r="G18" s="28"/>
      <c r="H18" s="28"/>
      <c r="I18" s="28"/>
      <c r="J18" s="28" t="s">
        <v>55</v>
      </c>
      <c r="K18" s="28" t="s">
        <v>56</v>
      </c>
      <c r="L18" s="28" t="s">
        <v>20</v>
      </c>
      <c r="M18" s="28" t="s">
        <v>20</v>
      </c>
      <c r="N18" s="28" t="s">
        <v>20</v>
      </c>
      <c r="O18" s="28" t="s">
        <v>20</v>
      </c>
      <c r="P18" s="28" t="s">
        <v>25</v>
      </c>
      <c r="Q18" s="28" t="s">
        <v>27</v>
      </c>
      <c r="R18" s="28" t="s">
        <v>20</v>
      </c>
      <c r="S18" s="28" t="s">
        <v>20</v>
      </c>
      <c r="U18" s="110"/>
      <c r="V18" s="13" t="s">
        <v>29</v>
      </c>
      <c r="W18" s="16">
        <f>+COUNTIF(L5:L40,"Blanco")</f>
        <v>0</v>
      </c>
      <c r="X18" s="127"/>
      <c r="Y18" s="26" t="s">
        <v>29</v>
      </c>
      <c r="Z18" s="52">
        <f>COUNTIFS($C$5:$C$65,"Blanco",$L$5:$L$65,"Si")</f>
        <v>0</v>
      </c>
      <c r="AA18" s="127"/>
      <c r="AB18" s="26" t="s">
        <v>29</v>
      </c>
      <c r="AC18" s="58">
        <f>COUNTIFS($C$5:$C$65,"Blanco",$L$5:$L$65,"No")</f>
        <v>0</v>
      </c>
      <c r="AD18" s="127"/>
      <c r="AE18" s="26" t="s">
        <v>6</v>
      </c>
      <c r="AF18" s="26">
        <f>COUNTIFS($F$5:$F$65,"1",$L$5:$L$65,"Si")</f>
        <v>6</v>
      </c>
      <c r="AG18" s="26" t="s">
        <v>9</v>
      </c>
      <c r="AH18" s="26">
        <f>COUNTIFS($I$5:$I$65,"1",$L$5:$L$65,"Si")</f>
        <v>6</v>
      </c>
      <c r="AI18" s="26"/>
      <c r="AJ18" s="52"/>
      <c r="AK18" s="50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x14ac:dyDescent="0.25">
      <c r="A19" s="3">
        <v>15</v>
      </c>
      <c r="B19" s="29">
        <v>42930</v>
      </c>
      <c r="C19" s="28" t="s">
        <v>23</v>
      </c>
      <c r="D19" s="28"/>
      <c r="E19" s="28"/>
      <c r="F19" s="28"/>
      <c r="G19" s="28"/>
      <c r="H19" s="28">
        <v>1</v>
      </c>
      <c r="I19" s="28"/>
      <c r="J19" s="28" t="s">
        <v>55</v>
      </c>
      <c r="K19" s="28" t="s">
        <v>56</v>
      </c>
      <c r="L19" s="28" t="s">
        <v>20</v>
      </c>
      <c r="M19" s="28" t="s">
        <v>20</v>
      </c>
      <c r="N19" s="28" t="s">
        <v>20</v>
      </c>
      <c r="O19" s="28" t="s">
        <v>20</v>
      </c>
      <c r="P19" s="28" t="s">
        <v>20</v>
      </c>
      <c r="Q19" s="28" t="s">
        <v>27</v>
      </c>
      <c r="R19" s="28" t="s">
        <v>20</v>
      </c>
      <c r="S19" s="28" t="s">
        <v>20</v>
      </c>
      <c r="U19" s="137" t="s">
        <v>37</v>
      </c>
      <c r="V19" s="12" t="s">
        <v>20</v>
      </c>
      <c r="W19" s="14">
        <f>+COUNTIF(M5:M40,"Si")</f>
        <v>27</v>
      </c>
      <c r="X19" s="125" t="s">
        <v>118</v>
      </c>
      <c r="Y19" s="48" t="s">
        <v>114</v>
      </c>
      <c r="Z19" s="49">
        <f>COUNTIFS($C$5:$C$65,"M",$M$5:$M$65,"Si")</f>
        <v>11</v>
      </c>
      <c r="AA19" s="125" t="s">
        <v>117</v>
      </c>
      <c r="AB19" s="48" t="s">
        <v>114</v>
      </c>
      <c r="AC19" s="55">
        <f>COUNTIFS($C$5:$C$65,"M",$M$5:$M$65,"No")</f>
        <v>5</v>
      </c>
      <c r="AD19" s="132" t="s">
        <v>118</v>
      </c>
      <c r="AE19" s="61" t="s">
        <v>4</v>
      </c>
      <c r="AF19" s="48">
        <f>COUNTIFS($D$5:$D$65,"1",$M$5:$M$65,"Si")</f>
        <v>1</v>
      </c>
      <c r="AG19" s="61" t="s">
        <v>7</v>
      </c>
      <c r="AH19" s="48">
        <f>COUNTIFS($G$5:$G$65,"1",$M$5:$M$65,"Si")</f>
        <v>2</v>
      </c>
      <c r="AI19" s="61" t="s">
        <v>29</v>
      </c>
      <c r="AJ19" s="49">
        <f>COUNTIFS($I$5:$I$65,"Blanco",$M$5:$M$65,"Si")</f>
        <v>2</v>
      </c>
      <c r="AK19" s="50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x14ac:dyDescent="0.25">
      <c r="A20" s="3">
        <v>16</v>
      </c>
      <c r="B20" s="29">
        <v>42930</v>
      </c>
      <c r="C20" s="28" t="s">
        <v>30</v>
      </c>
      <c r="D20" s="28"/>
      <c r="E20" s="28"/>
      <c r="F20" s="28"/>
      <c r="G20" s="28"/>
      <c r="H20" s="28"/>
      <c r="I20" s="28">
        <v>1</v>
      </c>
      <c r="J20" s="28" t="s">
        <v>55</v>
      </c>
      <c r="K20" s="28" t="s">
        <v>57</v>
      </c>
      <c r="L20" s="28" t="s">
        <v>20</v>
      </c>
      <c r="M20" s="28" t="s">
        <v>20</v>
      </c>
      <c r="N20" s="28" t="s">
        <v>20</v>
      </c>
      <c r="O20" s="28" t="s">
        <v>25</v>
      </c>
      <c r="P20" s="28" t="s">
        <v>25</v>
      </c>
      <c r="Q20" s="28" t="s">
        <v>26</v>
      </c>
      <c r="R20" s="28" t="s">
        <v>20</v>
      </c>
      <c r="S20" s="28" t="s">
        <v>20</v>
      </c>
      <c r="U20" s="109"/>
      <c r="V20" s="9" t="s">
        <v>25</v>
      </c>
      <c r="W20" s="15">
        <f>+COUNTIF(M5:M40,"No")</f>
        <v>9</v>
      </c>
      <c r="X20" s="126"/>
      <c r="Y20" s="6" t="s">
        <v>115</v>
      </c>
      <c r="Z20" s="51">
        <f>COUNTIFS($C$5:$C$65,"F",$M$5:$M$65,"Si")</f>
        <v>16</v>
      </c>
      <c r="AA20" s="126"/>
      <c r="AB20" s="6" t="s">
        <v>115</v>
      </c>
      <c r="AC20" s="57">
        <f>COUNTIFS($C$5:$C$65,"F",$M$5:$M$65,"No")</f>
        <v>4</v>
      </c>
      <c r="AD20" s="126"/>
      <c r="AE20" s="6" t="s">
        <v>5</v>
      </c>
      <c r="AF20" s="6">
        <f>COUNTIFS($E$5:$E$65,"1",$M$5:$M$65,"Si")</f>
        <v>3</v>
      </c>
      <c r="AG20" s="39" t="s">
        <v>8</v>
      </c>
      <c r="AH20" s="6">
        <f>COUNTIFS($H$5:$H$65,"1",$M$5:$M$65,"Si")</f>
        <v>7</v>
      </c>
      <c r="AI20" s="6"/>
      <c r="AJ20" s="51"/>
      <c r="AK20" s="50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5.75" thickBot="1" x14ac:dyDescent="0.3">
      <c r="A21" s="3">
        <v>17</v>
      </c>
      <c r="B21" s="29">
        <v>42930</v>
      </c>
      <c r="C21" s="28" t="s">
        <v>23</v>
      </c>
      <c r="D21" s="28"/>
      <c r="E21" s="28"/>
      <c r="F21" s="28"/>
      <c r="G21" s="28">
        <v>1</v>
      </c>
      <c r="H21" s="28"/>
      <c r="I21" s="28"/>
      <c r="J21" s="28" t="s">
        <v>55</v>
      </c>
      <c r="K21" s="28" t="s">
        <v>57</v>
      </c>
      <c r="L21" s="28" t="s">
        <v>20</v>
      </c>
      <c r="M21" s="28" t="s">
        <v>20</v>
      </c>
      <c r="N21" s="28" t="s">
        <v>20</v>
      </c>
      <c r="O21" s="28" t="s">
        <v>25</v>
      </c>
      <c r="P21" s="28" t="s">
        <v>25</v>
      </c>
      <c r="Q21" s="28" t="s">
        <v>27</v>
      </c>
      <c r="R21" s="28" t="s">
        <v>20</v>
      </c>
      <c r="S21" s="28" t="s">
        <v>20</v>
      </c>
      <c r="U21" s="110"/>
      <c r="V21" s="13" t="s">
        <v>29</v>
      </c>
      <c r="W21" s="16">
        <f>+COUNTIF(M5:M40,"Blanco")</f>
        <v>0</v>
      </c>
      <c r="X21" s="127"/>
      <c r="Y21" s="26" t="s">
        <v>29</v>
      </c>
      <c r="Z21" s="52">
        <f>COUNTIFS($C$5:$C$65,"Blanco",$M$5:$M$65,"Si")</f>
        <v>0</v>
      </c>
      <c r="AA21" s="127"/>
      <c r="AB21" s="26" t="s">
        <v>29</v>
      </c>
      <c r="AC21" s="58">
        <f>COUNTIFS($C$5:$C$65,"Blanco",$M$5:$M$65,"No")</f>
        <v>0</v>
      </c>
      <c r="AD21" s="127"/>
      <c r="AE21" s="26" t="s">
        <v>6</v>
      </c>
      <c r="AF21" s="26">
        <f>COUNTIFS($F$5:$F$65,"1",$M$5:$M$65,"Si")</f>
        <v>5</v>
      </c>
      <c r="AG21" s="26" t="s">
        <v>9</v>
      </c>
      <c r="AH21" s="26">
        <f>COUNTIFS($I$5:$I$65,"1",$M$5:$M$65,"Si")</f>
        <v>7</v>
      </c>
      <c r="AI21" s="26"/>
      <c r="AJ21" s="52"/>
      <c r="AK21" s="50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x14ac:dyDescent="0.25">
      <c r="A22" s="3">
        <v>18</v>
      </c>
      <c r="B22" s="29">
        <v>42930</v>
      </c>
      <c r="C22" s="28" t="s">
        <v>30</v>
      </c>
      <c r="D22" s="28"/>
      <c r="E22" s="28">
        <v>1</v>
      </c>
      <c r="F22" s="28"/>
      <c r="G22" s="28"/>
      <c r="H22" s="28"/>
      <c r="I22" s="28"/>
      <c r="J22" s="28" t="s">
        <v>55</v>
      </c>
      <c r="K22" s="28" t="s">
        <v>57</v>
      </c>
      <c r="L22" s="28" t="s">
        <v>20</v>
      </c>
      <c r="M22" s="28" t="s">
        <v>20</v>
      </c>
      <c r="N22" s="28" t="s">
        <v>20</v>
      </c>
      <c r="O22" s="28" t="s">
        <v>20</v>
      </c>
      <c r="P22" s="28" t="s">
        <v>20</v>
      </c>
      <c r="Q22" s="28" t="s">
        <v>27</v>
      </c>
      <c r="R22" s="28" t="s">
        <v>20</v>
      </c>
      <c r="S22" s="28" t="s">
        <v>20</v>
      </c>
      <c r="U22" s="137" t="s">
        <v>38</v>
      </c>
      <c r="V22" s="12" t="s">
        <v>20</v>
      </c>
      <c r="W22" s="14">
        <f>+COUNTIF(N5:N40,"Si")</f>
        <v>20</v>
      </c>
      <c r="X22" s="125" t="s">
        <v>118</v>
      </c>
      <c r="Y22" s="48" t="s">
        <v>114</v>
      </c>
      <c r="Z22" s="49">
        <f>COUNTIFS($C$5:$C$65,"M",$N$5:$N$65,"Si")</f>
        <v>8</v>
      </c>
      <c r="AA22" s="125" t="s">
        <v>117</v>
      </c>
      <c r="AB22" s="48" t="s">
        <v>114</v>
      </c>
      <c r="AC22" s="55">
        <f>COUNTIFS($C$5:$C$65,"M",$N$5:$N$65,"No")</f>
        <v>8</v>
      </c>
      <c r="AD22" s="125" t="s">
        <v>117</v>
      </c>
      <c r="AE22" s="48" t="s">
        <v>4</v>
      </c>
      <c r="AF22" s="48">
        <f>COUNTIFS($D$5:$D$65,"1",$N$5:$N$65,"No")</f>
        <v>1</v>
      </c>
      <c r="AG22" s="48" t="s">
        <v>7</v>
      </c>
      <c r="AH22" s="48">
        <f>COUNTIFS($G$5:$G$65,"1",$N$5:$N$65,"No")</f>
        <v>1</v>
      </c>
      <c r="AI22" s="48" t="s">
        <v>29</v>
      </c>
      <c r="AJ22" s="49">
        <f>COUNTIFS($I$5:$I$65,"Blanco",$N$5:$N$65,"No")</f>
        <v>1</v>
      </c>
      <c r="AK22" s="50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x14ac:dyDescent="0.25">
      <c r="A23" s="3">
        <v>19</v>
      </c>
      <c r="B23" s="29">
        <v>42930</v>
      </c>
      <c r="C23" s="28" t="s">
        <v>23</v>
      </c>
      <c r="D23" s="28"/>
      <c r="E23" s="28"/>
      <c r="F23" s="28"/>
      <c r="G23" s="28"/>
      <c r="H23" s="28">
        <v>1</v>
      </c>
      <c r="I23" s="28"/>
      <c r="J23" s="28" t="s">
        <v>55</v>
      </c>
      <c r="K23" s="28" t="s">
        <v>57</v>
      </c>
      <c r="L23" s="28" t="s">
        <v>20</v>
      </c>
      <c r="M23" s="28" t="s">
        <v>25</v>
      </c>
      <c r="N23" s="28" t="s">
        <v>25</v>
      </c>
      <c r="O23" s="28" t="s">
        <v>25</v>
      </c>
      <c r="P23" s="28" t="s">
        <v>25</v>
      </c>
      <c r="Q23" s="28" t="s">
        <v>28</v>
      </c>
      <c r="R23" s="28" t="s">
        <v>25</v>
      </c>
      <c r="S23" s="28" t="s">
        <v>25</v>
      </c>
      <c r="U23" s="109"/>
      <c r="V23" s="9" t="s">
        <v>25</v>
      </c>
      <c r="W23" s="15">
        <f>+COUNTIF(N5:N40,"No")</f>
        <v>16</v>
      </c>
      <c r="X23" s="126"/>
      <c r="Y23" s="6" t="s">
        <v>115</v>
      </c>
      <c r="Z23" s="51">
        <f>COUNTIFS($C$5:$C$65,"F",$N$5:$N$65,"Si")</f>
        <v>12</v>
      </c>
      <c r="AA23" s="126"/>
      <c r="AB23" s="6" t="s">
        <v>115</v>
      </c>
      <c r="AC23" s="57">
        <f>COUNTIFS($C$5:$C$65,"F",$N$5:$N$65,"No")</f>
        <v>8</v>
      </c>
      <c r="AD23" s="126"/>
      <c r="AE23" s="6" t="s">
        <v>5</v>
      </c>
      <c r="AF23" s="6">
        <f>COUNTIFS($E$5:$E$65,"1",$N$5:$N$65,"No")</f>
        <v>0</v>
      </c>
      <c r="AG23" s="39" t="s">
        <v>8</v>
      </c>
      <c r="AH23" s="6">
        <f>COUNTIFS($H$5:$H$65,"1",$N$5:$N$65,"No")</f>
        <v>5</v>
      </c>
      <c r="AI23" s="6"/>
      <c r="AJ23" s="51"/>
      <c r="AK23" s="50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5.75" thickBot="1" x14ac:dyDescent="0.3">
      <c r="A24" s="3">
        <v>20</v>
      </c>
      <c r="B24" s="29">
        <v>42930</v>
      </c>
      <c r="C24" s="28" t="s">
        <v>23</v>
      </c>
      <c r="D24" s="28"/>
      <c r="E24" s="28"/>
      <c r="F24" s="28"/>
      <c r="G24" s="28"/>
      <c r="H24" s="28">
        <v>1</v>
      </c>
      <c r="I24" s="28"/>
      <c r="J24" s="28" t="s">
        <v>55</v>
      </c>
      <c r="K24" s="28" t="s">
        <v>57</v>
      </c>
      <c r="L24" s="28" t="s">
        <v>20</v>
      </c>
      <c r="M24" s="28" t="s">
        <v>20</v>
      </c>
      <c r="N24" s="28" t="s">
        <v>20</v>
      </c>
      <c r="O24" s="28" t="s">
        <v>20</v>
      </c>
      <c r="P24" s="28" t="s">
        <v>25</v>
      </c>
      <c r="Q24" s="28" t="s">
        <v>27</v>
      </c>
      <c r="R24" s="28" t="s">
        <v>20</v>
      </c>
      <c r="S24" s="28" t="s">
        <v>20</v>
      </c>
      <c r="U24" s="110"/>
      <c r="V24" s="13" t="s">
        <v>29</v>
      </c>
      <c r="W24" s="16">
        <f>+COUNTIF(N5:N40,"Blanco")</f>
        <v>0</v>
      </c>
      <c r="X24" s="127"/>
      <c r="Y24" s="26" t="s">
        <v>29</v>
      </c>
      <c r="Z24" s="52">
        <f>COUNTIFS($C$5:$C$65,"Blanco",$N$5:$N$65,"Si")</f>
        <v>0</v>
      </c>
      <c r="AA24" s="127"/>
      <c r="AB24" s="26" t="s">
        <v>29</v>
      </c>
      <c r="AC24" s="58">
        <f>COUNTIFS($C$5:$C$65,"Blanco",$N$5:$N$65,"No")</f>
        <v>0</v>
      </c>
      <c r="AD24" s="127"/>
      <c r="AE24" s="26" t="s">
        <v>6</v>
      </c>
      <c r="AF24" s="26">
        <f>COUNTIFS($F$5:$F$65,"1",$N$5:$N$65,"No")</f>
        <v>3</v>
      </c>
      <c r="AG24" s="26" t="s">
        <v>9</v>
      </c>
      <c r="AH24" s="26">
        <f>COUNTIFS($I$5:$I$65,"1",$N$5:$N$65,"No")</f>
        <v>5</v>
      </c>
      <c r="AI24" s="26"/>
      <c r="AJ24" s="52"/>
      <c r="AK24" s="50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x14ac:dyDescent="0.25">
      <c r="A25" s="3">
        <v>21</v>
      </c>
      <c r="B25" s="29">
        <v>42930</v>
      </c>
      <c r="C25" s="28" t="s">
        <v>30</v>
      </c>
      <c r="D25" s="28"/>
      <c r="E25" s="28"/>
      <c r="F25" s="28">
        <v>1</v>
      </c>
      <c r="G25" s="28"/>
      <c r="H25" s="28"/>
      <c r="I25" s="28"/>
      <c r="J25" s="28" t="s">
        <v>55</v>
      </c>
      <c r="K25" s="28" t="s">
        <v>57</v>
      </c>
      <c r="L25" s="28" t="s">
        <v>20</v>
      </c>
      <c r="M25" s="28" t="s">
        <v>20</v>
      </c>
      <c r="N25" s="28" t="s">
        <v>20</v>
      </c>
      <c r="O25" s="28" t="s">
        <v>20</v>
      </c>
      <c r="P25" s="28" t="s">
        <v>25</v>
      </c>
      <c r="Q25" s="28" t="s">
        <v>27</v>
      </c>
      <c r="R25" s="28" t="s">
        <v>20</v>
      </c>
      <c r="S25" s="28" t="s">
        <v>20</v>
      </c>
      <c r="U25" s="137" t="s">
        <v>39</v>
      </c>
      <c r="V25" s="12" t="s">
        <v>20</v>
      </c>
      <c r="W25" s="14">
        <f>+COUNTIF(O5:O40,"Si")</f>
        <v>10</v>
      </c>
      <c r="X25" s="125" t="s">
        <v>118</v>
      </c>
      <c r="Y25" s="48" t="s">
        <v>114</v>
      </c>
      <c r="Z25" s="49">
        <f>COUNTIFS($C$5:$C$65,"M",$O$5:O65,"Si")</f>
        <v>4</v>
      </c>
      <c r="AA25" s="128" t="s">
        <v>117</v>
      </c>
      <c r="AB25" s="19" t="s">
        <v>114</v>
      </c>
      <c r="AC25" s="65">
        <f>COUNTIFS($C$5:$C$65,"M",$O$5:$O$65,"No")</f>
        <v>12</v>
      </c>
      <c r="AD25" s="128" t="s">
        <v>117</v>
      </c>
      <c r="AE25" s="19" t="s">
        <v>4</v>
      </c>
      <c r="AF25" s="19">
        <f>COUNTIFS($D$5:$D$65,"1",$O$5:$O$65,"No")</f>
        <v>2</v>
      </c>
      <c r="AG25" s="19" t="s">
        <v>7</v>
      </c>
      <c r="AH25" s="19">
        <f>COUNTIFS($G$5:$G$65,"1",$O$5:$O$65,"No")</f>
        <v>4</v>
      </c>
      <c r="AI25" s="19" t="s">
        <v>29</v>
      </c>
      <c r="AJ25" s="66">
        <f>COUNTIFS($I$5:$I$65,"Blanco",$O$5:$O$65,"No")</f>
        <v>2</v>
      </c>
      <c r="AK25" s="50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x14ac:dyDescent="0.25">
      <c r="A26" s="3">
        <v>22</v>
      </c>
      <c r="B26" s="29">
        <v>42930</v>
      </c>
      <c r="C26" s="28" t="s">
        <v>23</v>
      </c>
      <c r="D26" s="28"/>
      <c r="E26" s="28"/>
      <c r="F26" s="28">
        <v>1</v>
      </c>
      <c r="G26" s="28"/>
      <c r="H26" s="28"/>
      <c r="I26" s="28"/>
      <c r="J26" s="28" t="s">
        <v>55</v>
      </c>
      <c r="K26" s="28" t="s">
        <v>57</v>
      </c>
      <c r="L26" s="28" t="s">
        <v>20</v>
      </c>
      <c r="M26" s="28" t="s">
        <v>20</v>
      </c>
      <c r="N26" s="28" t="s">
        <v>25</v>
      </c>
      <c r="O26" s="28" t="s">
        <v>25</v>
      </c>
      <c r="P26" s="28" t="s">
        <v>25</v>
      </c>
      <c r="Q26" s="28" t="s">
        <v>27</v>
      </c>
      <c r="R26" s="28" t="s">
        <v>20</v>
      </c>
      <c r="S26" s="28" t="s">
        <v>20</v>
      </c>
      <c r="U26" s="109"/>
      <c r="V26" s="9" t="s">
        <v>25</v>
      </c>
      <c r="W26" s="15">
        <f>+COUNTIF(O5:O40,"No")</f>
        <v>26</v>
      </c>
      <c r="X26" s="126"/>
      <c r="Y26" s="6" t="s">
        <v>115</v>
      </c>
      <c r="Z26" s="51">
        <f>COUNTIFS($C$5:$C$65,"F",$O$5:$O$65,"Si")</f>
        <v>6</v>
      </c>
      <c r="AA26" s="129"/>
      <c r="AB26" s="35" t="s">
        <v>115</v>
      </c>
      <c r="AC26" s="67">
        <f>COUNTIFS($C$2:$C$65,"F",$O$2:$O$65,"No")</f>
        <v>14</v>
      </c>
      <c r="AD26" s="129"/>
      <c r="AE26" s="35" t="s">
        <v>5</v>
      </c>
      <c r="AF26" s="35">
        <f>COUNTIFS($E$5:$E$65,"1",$O$5:$O$65,"No")</f>
        <v>2</v>
      </c>
      <c r="AG26" s="9" t="s">
        <v>8</v>
      </c>
      <c r="AH26" s="35">
        <f>COUNTIFS($H$5:$H$65,"1",$O$5:$O$65,"No")</f>
        <v>5</v>
      </c>
      <c r="AI26" s="35"/>
      <c r="AJ26" s="68"/>
      <c r="AK26" s="50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5.75" thickBot="1" x14ac:dyDescent="0.3">
      <c r="A27" s="3">
        <v>23</v>
      </c>
      <c r="B27" s="29">
        <v>42930</v>
      </c>
      <c r="C27" s="28" t="s">
        <v>30</v>
      </c>
      <c r="D27" s="28"/>
      <c r="E27" s="28"/>
      <c r="F27" s="28"/>
      <c r="G27" s="28"/>
      <c r="H27" s="28"/>
      <c r="I27" s="28">
        <v>1</v>
      </c>
      <c r="J27" s="28" t="s">
        <v>55</v>
      </c>
      <c r="K27" s="28" t="s">
        <v>57</v>
      </c>
      <c r="L27" s="28" t="s">
        <v>20</v>
      </c>
      <c r="M27" s="28" t="s">
        <v>20</v>
      </c>
      <c r="N27" s="28" t="s">
        <v>20</v>
      </c>
      <c r="O27" s="28" t="s">
        <v>20</v>
      </c>
      <c r="P27" s="28" t="s">
        <v>20</v>
      </c>
      <c r="Q27" s="28" t="s">
        <v>27</v>
      </c>
      <c r="R27" s="28" t="s">
        <v>20</v>
      </c>
      <c r="S27" s="28" t="s">
        <v>20</v>
      </c>
      <c r="U27" s="110"/>
      <c r="V27" s="13" t="s">
        <v>29</v>
      </c>
      <c r="W27" s="16">
        <f>+COUNTIF(O5:O40,"Blanco")</f>
        <v>0</v>
      </c>
      <c r="X27" s="127"/>
      <c r="Y27" s="26" t="s">
        <v>29</v>
      </c>
      <c r="Z27" s="52">
        <f>COUNTIFS($C$5:$C$65,"Blanco",$O$5:$O$65,"Si")</f>
        <v>0</v>
      </c>
      <c r="AA27" s="130"/>
      <c r="AB27" s="27" t="s">
        <v>29</v>
      </c>
      <c r="AC27" s="69">
        <f>COUNTIFS($C$2:$C$65,"Blanco",$O$2:$O$65,"No")</f>
        <v>0</v>
      </c>
      <c r="AD27" s="130"/>
      <c r="AE27" s="27" t="s">
        <v>6</v>
      </c>
      <c r="AF27" s="27">
        <f>COUNTIFS($F$5:$F$65,"1",$O$5:$O$65,"No")</f>
        <v>5</v>
      </c>
      <c r="AG27" s="27" t="s">
        <v>9</v>
      </c>
      <c r="AH27" s="27">
        <f>COUNTIFS($I$5:$I$65,"1",$O$5:$O$65,"No")</f>
        <v>6</v>
      </c>
      <c r="AI27" s="27"/>
      <c r="AJ27" s="70"/>
      <c r="AK27" s="50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x14ac:dyDescent="0.25">
      <c r="A28" s="3">
        <v>24</v>
      </c>
      <c r="B28" s="29">
        <v>42930</v>
      </c>
      <c r="C28" s="28" t="s">
        <v>23</v>
      </c>
      <c r="D28" s="28"/>
      <c r="E28" s="28"/>
      <c r="F28" s="28"/>
      <c r="G28" s="28">
        <v>1</v>
      </c>
      <c r="H28" s="28"/>
      <c r="I28" s="28"/>
      <c r="J28" s="28" t="s">
        <v>55</v>
      </c>
      <c r="K28" s="28" t="s">
        <v>57</v>
      </c>
      <c r="L28" s="28" t="s">
        <v>20</v>
      </c>
      <c r="M28" s="28" t="s">
        <v>25</v>
      </c>
      <c r="N28" s="28" t="s">
        <v>20</v>
      </c>
      <c r="O28" s="28" t="s">
        <v>20</v>
      </c>
      <c r="P28" s="28" t="s">
        <v>20</v>
      </c>
      <c r="Q28" s="28" t="s">
        <v>27</v>
      </c>
      <c r="R28" s="28" t="s">
        <v>20</v>
      </c>
      <c r="S28" s="28" t="s">
        <v>20</v>
      </c>
      <c r="U28" s="137" t="s">
        <v>40</v>
      </c>
      <c r="V28" s="12" t="s">
        <v>20</v>
      </c>
      <c r="W28" s="14">
        <f>+COUNTIF(P5:P40,"Si")</f>
        <v>10</v>
      </c>
      <c r="X28" s="125" t="s">
        <v>118</v>
      </c>
      <c r="Y28" s="48" t="s">
        <v>114</v>
      </c>
      <c r="Z28" s="49">
        <f>COUNTIFS($C$5:$C$65,"M",$P$5:$P$65,"Si")</f>
        <v>6</v>
      </c>
      <c r="AA28" s="128" t="s">
        <v>117</v>
      </c>
      <c r="AB28" s="19" t="s">
        <v>114</v>
      </c>
      <c r="AC28" s="65">
        <f>COUNTIFS($C$5:$C$65,"M",$P$5:$P$65,"No")</f>
        <v>10</v>
      </c>
      <c r="AD28" s="128" t="s">
        <v>117</v>
      </c>
      <c r="AE28" s="19" t="s">
        <v>4</v>
      </c>
      <c r="AF28" s="19">
        <f>COUNTIFS($D$5:$D$65,"1",$P$5:$P$65,"No")</f>
        <v>1</v>
      </c>
      <c r="AG28" s="19" t="s">
        <v>7</v>
      </c>
      <c r="AH28" s="19">
        <f>COUNTIFS($G$5:$G$65,"1",$P$5:$P$65,"No")</f>
        <v>3</v>
      </c>
      <c r="AI28" s="19" t="s">
        <v>29</v>
      </c>
      <c r="AJ28" s="66">
        <f>COUNTIFS($I$5:$I$65,"Blanco",$P$5:$P$65,"No")</f>
        <v>2</v>
      </c>
      <c r="AK28" s="50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x14ac:dyDescent="0.25">
      <c r="A29" s="3">
        <v>25</v>
      </c>
      <c r="B29" s="29">
        <v>42930</v>
      </c>
      <c r="C29" s="28" t="s">
        <v>30</v>
      </c>
      <c r="D29" s="28"/>
      <c r="E29" s="28"/>
      <c r="F29" s="28"/>
      <c r="G29" s="28">
        <v>1</v>
      </c>
      <c r="H29" s="28"/>
      <c r="I29" s="28"/>
      <c r="J29" s="28" t="s">
        <v>55</v>
      </c>
      <c r="K29" s="28" t="s">
        <v>57</v>
      </c>
      <c r="L29" s="28" t="s">
        <v>20</v>
      </c>
      <c r="M29" s="28" t="s">
        <v>25</v>
      </c>
      <c r="N29" s="28" t="s">
        <v>20</v>
      </c>
      <c r="O29" s="28" t="s">
        <v>25</v>
      </c>
      <c r="P29" s="28" t="s">
        <v>25</v>
      </c>
      <c r="Q29" s="28" t="s">
        <v>27</v>
      </c>
      <c r="R29" s="28" t="s">
        <v>20</v>
      </c>
      <c r="S29" s="28" t="s">
        <v>20</v>
      </c>
      <c r="U29" s="109"/>
      <c r="V29" s="9" t="s">
        <v>25</v>
      </c>
      <c r="W29" s="15">
        <f>+COUNTIF(P5:P40,"No")</f>
        <v>26</v>
      </c>
      <c r="X29" s="126"/>
      <c r="Y29" s="6" t="s">
        <v>115</v>
      </c>
      <c r="Z29" s="51">
        <f>COUNTIFS($C$5:$C$65,"F",$P$5:$P$65,"Si")</f>
        <v>4</v>
      </c>
      <c r="AA29" s="129"/>
      <c r="AB29" s="35" t="s">
        <v>115</v>
      </c>
      <c r="AC29" s="67">
        <f>COUNTIFS($C$5:$C$65,"F",$P$5:$P$65,"NO")</f>
        <v>16</v>
      </c>
      <c r="AD29" s="129"/>
      <c r="AE29" s="35" t="s">
        <v>5</v>
      </c>
      <c r="AF29" s="35">
        <f>COUNTIFS($E$5:$E$65,"1",$P$5:$P$65,"No")</f>
        <v>1</v>
      </c>
      <c r="AG29" s="9" t="s">
        <v>8</v>
      </c>
      <c r="AH29" s="35">
        <f>COUNTIFS($H$5:$H$65,"1",$P$5:$P$65,"No")</f>
        <v>5</v>
      </c>
      <c r="AI29" s="35"/>
      <c r="AJ29" s="68"/>
      <c r="AK29" s="50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5.75" thickBot="1" x14ac:dyDescent="0.3">
      <c r="A30" s="3">
        <v>26</v>
      </c>
      <c r="B30" s="29">
        <v>42930</v>
      </c>
      <c r="C30" s="28" t="s">
        <v>30</v>
      </c>
      <c r="D30" s="28">
        <v>1</v>
      </c>
      <c r="E30" s="28"/>
      <c r="F30" s="28"/>
      <c r="G30" s="28"/>
      <c r="H30" s="28"/>
      <c r="I30" s="28"/>
      <c r="J30" s="28" t="s">
        <v>55</v>
      </c>
      <c r="K30" s="28" t="s">
        <v>57</v>
      </c>
      <c r="L30" s="28" t="s">
        <v>25</v>
      </c>
      <c r="M30" s="28" t="s">
        <v>25</v>
      </c>
      <c r="N30" s="28" t="s">
        <v>25</v>
      </c>
      <c r="O30" s="28" t="s">
        <v>25</v>
      </c>
      <c r="P30" s="28" t="s">
        <v>25</v>
      </c>
      <c r="Q30" s="28" t="s">
        <v>26</v>
      </c>
      <c r="R30" s="28" t="s">
        <v>25</v>
      </c>
      <c r="S30" s="28" t="s">
        <v>20</v>
      </c>
      <c r="U30" s="110"/>
      <c r="V30" s="13" t="s">
        <v>29</v>
      </c>
      <c r="W30" s="16">
        <f>+COUNTIF(P5:P40,"Blanco")</f>
        <v>0</v>
      </c>
      <c r="X30" s="154"/>
      <c r="Y30" s="34" t="s">
        <v>29</v>
      </c>
      <c r="Z30" s="53">
        <f>COUNTIFS($C$5:$C$65,"Blanco",$P$5:$P$65,"Si")</f>
        <v>0</v>
      </c>
      <c r="AA30" s="153"/>
      <c r="AB30" s="71" t="s">
        <v>29</v>
      </c>
      <c r="AC30" s="72">
        <f>COUNTIFS($C$5:$C$65,"Blanco",$P$5:$P$65,"No")</f>
        <v>0</v>
      </c>
      <c r="AD30" s="130"/>
      <c r="AE30" s="27" t="s">
        <v>6</v>
      </c>
      <c r="AF30" s="27">
        <f>COUNTIFS($F$5:$F$65,"1",$P$5:$P$65,"No")</f>
        <v>6</v>
      </c>
      <c r="AG30" s="71" t="s">
        <v>9</v>
      </c>
      <c r="AH30" s="71">
        <f>COUNTIFS($I$5:$I$65,"1",$P$5:$P$65,"No")</f>
        <v>8</v>
      </c>
      <c r="AI30" s="71"/>
      <c r="AJ30" s="73"/>
      <c r="AK30" s="5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</row>
    <row r="31" spans="1:50" x14ac:dyDescent="0.25">
      <c r="A31" s="3">
        <v>27</v>
      </c>
      <c r="B31" s="29">
        <v>42929</v>
      </c>
      <c r="C31" s="28" t="s">
        <v>30</v>
      </c>
      <c r="D31" s="28"/>
      <c r="E31" s="28"/>
      <c r="F31" s="28"/>
      <c r="G31" s="28"/>
      <c r="H31" s="28"/>
      <c r="I31" s="28">
        <v>1</v>
      </c>
      <c r="J31" s="28" t="s">
        <v>55</v>
      </c>
      <c r="K31" s="28" t="s">
        <v>58</v>
      </c>
      <c r="L31" s="28" t="s">
        <v>20</v>
      </c>
      <c r="M31" s="28" t="s">
        <v>20</v>
      </c>
      <c r="N31" s="28" t="s">
        <v>25</v>
      </c>
      <c r="O31" s="28" t="s">
        <v>25</v>
      </c>
      <c r="P31" s="28" t="s">
        <v>25</v>
      </c>
      <c r="Q31" s="28" t="s">
        <v>34</v>
      </c>
      <c r="R31" s="28" t="s">
        <v>20</v>
      </c>
      <c r="S31" s="28" t="s">
        <v>20</v>
      </c>
      <c r="U31" s="137" t="s">
        <v>41</v>
      </c>
      <c r="V31" s="12" t="s">
        <v>27</v>
      </c>
      <c r="W31" s="14">
        <f>+COUNTIF(Q5:Q40,"Elevada")</f>
        <v>29</v>
      </c>
      <c r="X31" s="125" t="s">
        <v>116</v>
      </c>
      <c r="Y31" s="48" t="s">
        <v>114</v>
      </c>
      <c r="Z31" s="49">
        <f>COUNTIFS($C$5:$C$65,"M",$Q$5:$Q$65,"Elevada")</f>
        <v>11</v>
      </c>
      <c r="AA31" s="125" t="s">
        <v>119</v>
      </c>
      <c r="AB31" s="48" t="s">
        <v>114</v>
      </c>
      <c r="AC31" s="49">
        <f>COUNTIFS($C$5:$C$65,"M",$Q$5:$Q$65,"Alguna")</f>
        <v>2</v>
      </c>
      <c r="AD31" s="125" t="s">
        <v>120</v>
      </c>
      <c r="AE31" s="48" t="s">
        <v>114</v>
      </c>
      <c r="AF31" s="49">
        <f>COUNTIFS($C$5:$C$65,"M",$Q$5:$Q$65,"Poca")</f>
        <v>2</v>
      </c>
      <c r="AG31" s="125" t="s">
        <v>121</v>
      </c>
      <c r="AH31" s="48" t="s">
        <v>114</v>
      </c>
      <c r="AI31" s="55">
        <f>COUNTIFS($C$5:$C$65,"M",$Q$5:$Q$65,"Ninguna")</f>
        <v>1</v>
      </c>
      <c r="AJ31" s="55"/>
      <c r="AK31" s="125" t="s">
        <v>122</v>
      </c>
      <c r="AL31" s="56" t="s">
        <v>4</v>
      </c>
      <c r="AM31" s="48">
        <f>COUNTIFS($D$5:$D$65,"1",$Q$5:$Q$65,"Elevada")</f>
        <v>1</v>
      </c>
      <c r="AN31" s="48" t="s">
        <v>7</v>
      </c>
      <c r="AO31" s="48">
        <f>COUNTIFS($G$5:$G$65,"1",$Q$5:$Q$65,"Elevada")</f>
        <v>4</v>
      </c>
      <c r="AP31" s="48" t="s">
        <v>29</v>
      </c>
      <c r="AQ31" s="49">
        <f>COUNTIFS($I$5:$I$65,"Blanco",$Q$5:$Q$65,"Elevada")</f>
        <v>2</v>
      </c>
      <c r="AR31" s="125" t="s">
        <v>119</v>
      </c>
      <c r="AS31" s="48" t="s">
        <v>4</v>
      </c>
      <c r="AT31" s="48">
        <f>COUNTIFS($D$5:$D$65,"1",$Q$5:$Q$65,"Alguna")</f>
        <v>0</v>
      </c>
      <c r="AU31" s="48" t="s">
        <v>7</v>
      </c>
      <c r="AV31" s="48">
        <f>COUNTIFS($G$5:$G$65,"1",$Q$5:$Q$65,"Alguna")</f>
        <v>1</v>
      </c>
      <c r="AW31" s="48" t="s">
        <v>29</v>
      </c>
      <c r="AX31" s="49">
        <f>COUNTIFS($I$5:$I$65,"Blanco",$Q$5:$Q$65,"Alguna")</f>
        <v>0</v>
      </c>
    </row>
    <row r="32" spans="1:50" x14ac:dyDescent="0.25">
      <c r="A32" s="3">
        <v>28</v>
      </c>
      <c r="B32" s="29">
        <v>42929</v>
      </c>
      <c r="C32" s="28" t="s">
        <v>23</v>
      </c>
      <c r="D32" s="28"/>
      <c r="E32" s="28"/>
      <c r="F32" s="28"/>
      <c r="G32" s="28"/>
      <c r="H32" s="28"/>
      <c r="I32" s="20" t="s">
        <v>29</v>
      </c>
      <c r="J32" s="28" t="s">
        <v>55</v>
      </c>
      <c r="K32" s="28" t="s">
        <v>58</v>
      </c>
      <c r="L32" s="28" t="s">
        <v>20</v>
      </c>
      <c r="M32" s="28" t="s">
        <v>20</v>
      </c>
      <c r="N32" s="28" t="s">
        <v>20</v>
      </c>
      <c r="O32" s="28" t="s">
        <v>25</v>
      </c>
      <c r="P32" s="28" t="s">
        <v>25</v>
      </c>
      <c r="Q32" s="28" t="s">
        <v>27</v>
      </c>
      <c r="R32" s="28" t="s">
        <v>20</v>
      </c>
      <c r="S32" s="28" t="s">
        <v>20</v>
      </c>
      <c r="U32" s="109"/>
      <c r="V32" s="9" t="s">
        <v>28</v>
      </c>
      <c r="W32" s="15">
        <f>+COUNTIF(Q5:Q40,"Alguna")</f>
        <v>4</v>
      </c>
      <c r="X32" s="126"/>
      <c r="Y32" s="6" t="s">
        <v>115</v>
      </c>
      <c r="Z32" s="51">
        <f>COUNTIFS($C$5:$C$65,"F",$Q$5:$Q$65,"Elevada")</f>
        <v>18</v>
      </c>
      <c r="AA32" s="126"/>
      <c r="AB32" s="6" t="s">
        <v>115</v>
      </c>
      <c r="AC32" s="51">
        <f>COUNTIFS($C$5:$C$65,"F",$Q$5:$Q$65,"Alguna")</f>
        <v>2</v>
      </c>
      <c r="AD32" s="126"/>
      <c r="AE32" s="6" t="s">
        <v>115</v>
      </c>
      <c r="AF32" s="51">
        <f>COUNTIFS($C$5:$C$65,"F",$Q$5:$Q$65,"Poca")</f>
        <v>0</v>
      </c>
      <c r="AG32" s="126"/>
      <c r="AH32" s="6" t="s">
        <v>115</v>
      </c>
      <c r="AI32" s="57">
        <f>COUNTIFS($C$5:$C$65,"F",$Q$5:$Q$65,"Ninguna")</f>
        <v>0</v>
      </c>
      <c r="AJ32" s="57"/>
      <c r="AK32" s="126"/>
      <c r="AL32" s="50" t="s">
        <v>5</v>
      </c>
      <c r="AM32" s="6">
        <f>COUNTIFS($E$5:$E$65,"1",$Q$5:$Q$65,"Elevada")</f>
        <v>3</v>
      </c>
      <c r="AN32" s="39" t="s">
        <v>8</v>
      </c>
      <c r="AO32" s="6">
        <f>COUNTIFS($H$5:$H$65,"1",$Q$5:$Q$65,"Elevada")</f>
        <v>7</v>
      </c>
      <c r="AP32" s="6"/>
      <c r="AQ32" s="51"/>
      <c r="AR32" s="126"/>
      <c r="AS32" s="6" t="s">
        <v>5</v>
      </c>
      <c r="AT32" s="6">
        <f>COUNTIFS($E$5:$E$65,"1",$Q$5:$Q$65,"Alguna")</f>
        <v>0</v>
      </c>
      <c r="AU32" s="39" t="s">
        <v>8</v>
      </c>
      <c r="AV32" s="6">
        <f>COUNTIFS($H$5:$H$65,"1",$Q$5:$Q$65,"Alguna")</f>
        <v>1</v>
      </c>
      <c r="AW32" s="6"/>
      <c r="AX32" s="51"/>
    </row>
    <row r="33" spans="1:50" ht="15.75" thickBot="1" x14ac:dyDescent="0.3">
      <c r="A33" s="3">
        <v>29</v>
      </c>
      <c r="B33" s="29">
        <v>42929</v>
      </c>
      <c r="C33" s="28" t="s">
        <v>30</v>
      </c>
      <c r="D33" s="28"/>
      <c r="E33" s="28"/>
      <c r="F33" s="28"/>
      <c r="G33" s="28"/>
      <c r="H33" s="28">
        <v>1</v>
      </c>
      <c r="I33" s="28"/>
      <c r="J33" s="28" t="s">
        <v>55</v>
      </c>
      <c r="K33" s="28" t="s">
        <v>58</v>
      </c>
      <c r="L33" s="28" t="s">
        <v>20</v>
      </c>
      <c r="M33" s="28" t="s">
        <v>20</v>
      </c>
      <c r="N33" s="28" t="s">
        <v>20</v>
      </c>
      <c r="O33" s="28" t="s">
        <v>25</v>
      </c>
      <c r="P33" s="28" t="s">
        <v>20</v>
      </c>
      <c r="Q33" s="28" t="s">
        <v>27</v>
      </c>
      <c r="R33" s="28" t="s">
        <v>20</v>
      </c>
      <c r="S33" s="28" t="s">
        <v>20</v>
      </c>
      <c r="U33" s="109"/>
      <c r="V33" s="9" t="s">
        <v>26</v>
      </c>
      <c r="W33" s="15">
        <f>+COUNTIF(Q5:Q40,"Poca")</f>
        <v>2</v>
      </c>
      <c r="X33" s="127"/>
      <c r="Y33" s="26" t="s">
        <v>29</v>
      </c>
      <c r="Z33" s="52">
        <f>COUNTIFS($C$5:$C$65,"Blanco",Q5:Q65,"Elevada")</f>
        <v>0</v>
      </c>
      <c r="AA33" s="127"/>
      <c r="AB33" s="26" t="s">
        <v>29</v>
      </c>
      <c r="AC33" s="52">
        <f>COUNTIFS($C$5:$C$65,"Blanco",$Q$5:$Q$65,"Alguna")</f>
        <v>0</v>
      </c>
      <c r="AD33" s="127"/>
      <c r="AE33" s="26" t="s">
        <v>29</v>
      </c>
      <c r="AF33" s="52">
        <f>COUNTIFS($C$5:$C$65,"Blanco",$Q$5:$Q$65,"Poca")</f>
        <v>0</v>
      </c>
      <c r="AG33" s="127"/>
      <c r="AH33" s="26" t="s">
        <v>29</v>
      </c>
      <c r="AI33" s="58">
        <f>COUNTIFS($C$5:$C$65,"Blanco",$Q$5:$Q$65,"Ninguna")</f>
        <v>0</v>
      </c>
      <c r="AJ33" s="58"/>
      <c r="AK33" s="127"/>
      <c r="AL33" s="59" t="s">
        <v>6</v>
      </c>
      <c r="AM33" s="26">
        <f>COUNTIFS($F$5:$F$65,"1",$Q$5:$Q$65,"Elevada")</f>
        <v>6</v>
      </c>
      <c r="AN33" s="26" t="s">
        <v>9</v>
      </c>
      <c r="AO33" s="26">
        <f>COUNTIFS($I$5:$I$65,"1",$Q$5:$Q$65,"Elevada")</f>
        <v>6</v>
      </c>
      <c r="AP33" s="26"/>
      <c r="AQ33" s="52"/>
      <c r="AR33" s="127"/>
      <c r="AS33" s="26" t="s">
        <v>6</v>
      </c>
      <c r="AT33" s="26">
        <f>COUNTIFS($F$5:$F$65,"1",$Q$5:$Q$65,"Alguna")</f>
        <v>1</v>
      </c>
      <c r="AU33" s="26" t="s">
        <v>9</v>
      </c>
      <c r="AV33" s="26">
        <f>COUNTIFS($I$5:$I$65,"1",$Q$5:$Q$65,"Alguna")</f>
        <v>1</v>
      </c>
      <c r="AW33" s="26"/>
      <c r="AX33" s="52"/>
    </row>
    <row r="34" spans="1:50" ht="15.75" thickBot="1" x14ac:dyDescent="0.3">
      <c r="A34" s="3">
        <v>30</v>
      </c>
      <c r="B34" s="29">
        <v>42929</v>
      </c>
      <c r="C34" s="28" t="s">
        <v>23</v>
      </c>
      <c r="D34" s="28"/>
      <c r="E34" s="28"/>
      <c r="F34" s="28">
        <v>1</v>
      </c>
      <c r="G34" s="28"/>
      <c r="H34" s="28"/>
      <c r="I34" s="28"/>
      <c r="J34" s="28" t="s">
        <v>55</v>
      </c>
      <c r="K34" s="28" t="s">
        <v>58</v>
      </c>
      <c r="L34" s="28" t="s">
        <v>20</v>
      </c>
      <c r="M34" s="28" t="s">
        <v>25</v>
      </c>
      <c r="N34" s="28" t="s">
        <v>25</v>
      </c>
      <c r="O34" s="28" t="s">
        <v>25</v>
      </c>
      <c r="P34" s="28" t="s">
        <v>25</v>
      </c>
      <c r="Q34" s="28" t="s">
        <v>28</v>
      </c>
      <c r="R34" s="28" t="s">
        <v>20</v>
      </c>
      <c r="S34" s="28" t="s">
        <v>20</v>
      </c>
      <c r="U34" s="110"/>
      <c r="V34" s="13" t="s">
        <v>34</v>
      </c>
      <c r="W34" s="16">
        <f>+COUNTIF(Q5:Q40,"Ninguna")</f>
        <v>1</v>
      </c>
      <c r="X34" s="47"/>
      <c r="Y34" s="60"/>
      <c r="Z34" s="62"/>
      <c r="AA34" s="63"/>
      <c r="AB34" s="60"/>
      <c r="AC34" s="64"/>
      <c r="AD34" s="60"/>
      <c r="AE34" s="60"/>
      <c r="AG34" s="60"/>
      <c r="AH34" s="60"/>
      <c r="AI34" s="60"/>
      <c r="AJ34" s="60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</row>
    <row r="35" spans="1:50" x14ac:dyDescent="0.25">
      <c r="A35" s="3">
        <v>31</v>
      </c>
      <c r="B35" s="29">
        <v>42929</v>
      </c>
      <c r="C35" s="28" t="s">
        <v>30</v>
      </c>
      <c r="D35" s="28"/>
      <c r="E35" s="28"/>
      <c r="F35" s="28"/>
      <c r="G35" s="28"/>
      <c r="H35" s="28"/>
      <c r="I35" s="28">
        <v>1</v>
      </c>
      <c r="J35" s="28" t="s">
        <v>55</v>
      </c>
      <c r="K35" s="28" t="s">
        <v>58</v>
      </c>
      <c r="L35" s="28" t="s">
        <v>25</v>
      </c>
      <c r="M35" s="28" t="s">
        <v>20</v>
      </c>
      <c r="N35" s="28" t="s">
        <v>25</v>
      </c>
      <c r="O35" s="28" t="s">
        <v>25</v>
      </c>
      <c r="P35" s="28" t="s">
        <v>25</v>
      </c>
      <c r="Q35" s="28" t="s">
        <v>27</v>
      </c>
      <c r="R35" s="28" t="s">
        <v>20</v>
      </c>
      <c r="S35" s="28" t="s">
        <v>20</v>
      </c>
      <c r="U35" s="137" t="s">
        <v>42</v>
      </c>
      <c r="V35" s="12" t="s">
        <v>20</v>
      </c>
      <c r="W35" s="14">
        <f>+COUNTIF(R5:R40,"Si")</f>
        <v>32</v>
      </c>
      <c r="X35" s="125" t="s">
        <v>118</v>
      </c>
      <c r="Y35" s="48" t="s">
        <v>114</v>
      </c>
      <c r="Z35" s="49">
        <f>COUNTIFS($C$5:$C$65,"M",$R$5:$R$65,"Si")</f>
        <v>14</v>
      </c>
      <c r="AA35" s="125" t="s">
        <v>117</v>
      </c>
      <c r="AB35" s="48" t="s">
        <v>114</v>
      </c>
      <c r="AC35" s="55">
        <f>COUNTIFS($C$5:$C$65,"M",$R$5:$R$65,"No")</f>
        <v>2</v>
      </c>
      <c r="AD35" s="125" t="s">
        <v>118</v>
      </c>
      <c r="AE35" s="48" t="s">
        <v>4</v>
      </c>
      <c r="AF35" s="48">
        <f>COUNTIFS($D$5:$D$65,"1",$R$5:$R$65,"Si")</f>
        <v>1</v>
      </c>
      <c r="AG35" s="48" t="s">
        <v>7</v>
      </c>
      <c r="AH35" s="48">
        <f>COUNTIFS($G$5:$G$65,"1",$R$5:$R$65,"Si")</f>
        <v>5</v>
      </c>
      <c r="AI35" s="48" t="s">
        <v>29</v>
      </c>
      <c r="AJ35" s="49">
        <f>COUNTIFS($I$5:$I$65,"Blanco",$R$5:$R$65,"Si")</f>
        <v>2</v>
      </c>
      <c r="AK35" s="50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x14ac:dyDescent="0.25">
      <c r="A36" s="3">
        <v>32</v>
      </c>
      <c r="B36" s="29">
        <v>42929</v>
      </c>
      <c r="C36" s="28" t="s">
        <v>30</v>
      </c>
      <c r="D36" s="28"/>
      <c r="E36" s="28"/>
      <c r="F36" s="28"/>
      <c r="G36" s="28"/>
      <c r="H36" s="28"/>
      <c r="I36" s="28">
        <v>1</v>
      </c>
      <c r="J36" s="28" t="s">
        <v>55</v>
      </c>
      <c r="K36" s="28" t="s">
        <v>58</v>
      </c>
      <c r="L36" s="28" t="s">
        <v>25</v>
      </c>
      <c r="M36" s="28" t="s">
        <v>20</v>
      </c>
      <c r="N36" s="28" t="s">
        <v>25</v>
      </c>
      <c r="O36" s="28" t="s">
        <v>25</v>
      </c>
      <c r="P36" s="28" t="s">
        <v>25</v>
      </c>
      <c r="Q36" s="28" t="s">
        <v>27</v>
      </c>
      <c r="R36" s="28" t="s">
        <v>20</v>
      </c>
      <c r="S36" s="28" t="s">
        <v>20</v>
      </c>
      <c r="U36" s="109"/>
      <c r="V36" s="9" t="s">
        <v>25</v>
      </c>
      <c r="W36" s="15">
        <f>+COUNTIF(R5:R40,"No")</f>
        <v>4</v>
      </c>
      <c r="X36" s="126"/>
      <c r="Y36" s="6" t="s">
        <v>115</v>
      </c>
      <c r="Z36" s="51">
        <f>COUNTIFS($C$5:$C$65,"F",$R$5:$R$65,"Si")</f>
        <v>18</v>
      </c>
      <c r="AA36" s="126"/>
      <c r="AB36" s="6" t="s">
        <v>115</v>
      </c>
      <c r="AC36" s="57">
        <f>COUNTIFS($C$5:$C$65,"F",$R$5:$R$65,"No")</f>
        <v>2</v>
      </c>
      <c r="AD36" s="126"/>
      <c r="AE36" s="6" t="s">
        <v>5</v>
      </c>
      <c r="AF36" s="6">
        <f>COUNTIFS($E$5:$E$65,"1",$R$5:$R$65,"Si")</f>
        <v>3</v>
      </c>
      <c r="AG36" s="39" t="s">
        <v>8</v>
      </c>
      <c r="AH36" s="6">
        <f>COUNTIFS($H$5:$H$65,"1",$R$5:$R$65,"Si")</f>
        <v>7</v>
      </c>
      <c r="AI36" s="6"/>
      <c r="AJ36" s="51"/>
      <c r="AK36" s="50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15.75" thickBot="1" x14ac:dyDescent="0.3">
      <c r="A37" s="3">
        <v>33</v>
      </c>
      <c r="B37" s="29">
        <v>42929</v>
      </c>
      <c r="C37" s="28" t="s">
        <v>23</v>
      </c>
      <c r="D37" s="28"/>
      <c r="E37" s="28"/>
      <c r="F37" s="28"/>
      <c r="G37" s="28"/>
      <c r="H37" s="28"/>
      <c r="I37" s="20" t="s">
        <v>29</v>
      </c>
      <c r="J37" s="28" t="s">
        <v>55</v>
      </c>
      <c r="K37" s="28" t="s">
        <v>58</v>
      </c>
      <c r="L37" s="28" t="s">
        <v>20</v>
      </c>
      <c r="M37" s="28" t="s">
        <v>20</v>
      </c>
      <c r="N37" s="28" t="s">
        <v>25</v>
      </c>
      <c r="O37" s="28" t="s">
        <v>25</v>
      </c>
      <c r="P37" s="28" t="s">
        <v>25</v>
      </c>
      <c r="Q37" s="28" t="s">
        <v>27</v>
      </c>
      <c r="R37" s="28" t="s">
        <v>20</v>
      </c>
      <c r="S37" s="28" t="s">
        <v>20</v>
      </c>
      <c r="U37" s="110"/>
      <c r="V37" s="13" t="s">
        <v>29</v>
      </c>
      <c r="W37" s="16">
        <f>+COUNTIF(R5:R40,"Blanco")</f>
        <v>0</v>
      </c>
      <c r="X37" s="127"/>
      <c r="Y37" s="26" t="s">
        <v>29</v>
      </c>
      <c r="Z37" s="52">
        <f>COUNTIFS($C$5:$C$65,"Blanco",$R$5:$R$65,"Si")</f>
        <v>0</v>
      </c>
      <c r="AA37" s="127"/>
      <c r="AB37" s="26" t="s">
        <v>29</v>
      </c>
      <c r="AC37" s="58">
        <f>COUNTIFS($C$5:$C$65,"Blanco",$R$5:$R$65,"No")</f>
        <v>0</v>
      </c>
      <c r="AD37" s="127"/>
      <c r="AE37" s="26" t="s">
        <v>6</v>
      </c>
      <c r="AF37" s="26">
        <f>COUNTIFS($F$5:$F$65,"1",$R$5:$R$65,"Si")</f>
        <v>6</v>
      </c>
      <c r="AG37" s="26" t="s">
        <v>9</v>
      </c>
      <c r="AH37" s="26">
        <f>COUNTIFS($I$5:$I$65,"1",$R$5:$R$65,"Si")</f>
        <v>8</v>
      </c>
      <c r="AI37" s="26"/>
      <c r="AJ37" s="52"/>
      <c r="AK37" s="50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x14ac:dyDescent="0.25">
      <c r="A38" s="3">
        <v>34</v>
      </c>
      <c r="B38" s="29">
        <v>42929</v>
      </c>
      <c r="C38" s="28" t="s">
        <v>23</v>
      </c>
      <c r="D38" s="28"/>
      <c r="E38" s="28"/>
      <c r="F38" s="28"/>
      <c r="G38" s="28"/>
      <c r="H38" s="28"/>
      <c r="I38" s="28">
        <v>1</v>
      </c>
      <c r="J38" s="28" t="s">
        <v>55</v>
      </c>
      <c r="K38" s="28" t="s">
        <v>58</v>
      </c>
      <c r="L38" s="28" t="s">
        <v>20</v>
      </c>
      <c r="M38" s="28" t="s">
        <v>20</v>
      </c>
      <c r="N38" s="28" t="s">
        <v>20</v>
      </c>
      <c r="O38" s="28" t="s">
        <v>20</v>
      </c>
      <c r="P38" s="28" t="s">
        <v>25</v>
      </c>
      <c r="Q38" s="28" t="s">
        <v>27</v>
      </c>
      <c r="R38" s="28" t="s">
        <v>20</v>
      </c>
      <c r="S38" s="28" t="s">
        <v>20</v>
      </c>
      <c r="U38" s="137" t="s">
        <v>43</v>
      </c>
      <c r="V38" s="12" t="s">
        <v>20</v>
      </c>
      <c r="W38" s="14">
        <f>+COUNTIF(S5:S40,"Si")</f>
        <v>30</v>
      </c>
      <c r="X38" s="125" t="s">
        <v>118</v>
      </c>
      <c r="Y38" s="48" t="s">
        <v>114</v>
      </c>
      <c r="Z38" s="49">
        <f>COUNTIFS($C$5:$C$65,"M",$S$5:$S$65,"Si")</f>
        <v>14</v>
      </c>
      <c r="AA38" s="125" t="s">
        <v>117</v>
      </c>
      <c r="AB38" s="48" t="s">
        <v>114</v>
      </c>
      <c r="AC38" s="55">
        <f>COUNTIFS($C$5:$C$65,"M",$S$5:$S$65,"No")</f>
        <v>2</v>
      </c>
      <c r="AD38" s="125" t="s">
        <v>118</v>
      </c>
      <c r="AE38" s="48" t="s">
        <v>4</v>
      </c>
      <c r="AF38" s="48">
        <f>COUNTIFS($D$5:$D$65,"1",$S$5:$S$65,"Si")</f>
        <v>2</v>
      </c>
      <c r="AG38" s="48" t="s">
        <v>7</v>
      </c>
      <c r="AH38" s="48">
        <f>COUNTIFS($G$5:$G$65,"1",$S$5:$S$65,"Si")</f>
        <v>3</v>
      </c>
      <c r="AI38" s="48" t="s">
        <v>29</v>
      </c>
      <c r="AJ38" s="49">
        <f>COUNTIFS($I$5:$I$65,"Blanco",$S$5:$S$65,"Si")</f>
        <v>2</v>
      </c>
      <c r="AK38" s="50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x14ac:dyDescent="0.25">
      <c r="A39" s="3">
        <v>35</v>
      </c>
      <c r="B39" s="29">
        <v>42929</v>
      </c>
      <c r="C39" s="28" t="s">
        <v>23</v>
      </c>
      <c r="D39" s="28"/>
      <c r="E39" s="28"/>
      <c r="F39" s="28"/>
      <c r="G39" s="28"/>
      <c r="H39" s="28"/>
      <c r="I39" s="28">
        <v>1</v>
      </c>
      <c r="J39" s="28" t="s">
        <v>55</v>
      </c>
      <c r="K39" s="28" t="s">
        <v>58</v>
      </c>
      <c r="L39" s="28" t="s">
        <v>20</v>
      </c>
      <c r="M39" s="28" t="s">
        <v>20</v>
      </c>
      <c r="N39" s="28" t="s">
        <v>20</v>
      </c>
      <c r="O39" s="28" t="s">
        <v>20</v>
      </c>
      <c r="P39" s="28" t="s">
        <v>25</v>
      </c>
      <c r="Q39" s="28" t="s">
        <v>27</v>
      </c>
      <c r="R39" s="28" t="s">
        <v>20</v>
      </c>
      <c r="S39" s="28" t="s">
        <v>20</v>
      </c>
      <c r="U39" s="109"/>
      <c r="V39" s="9" t="s">
        <v>25</v>
      </c>
      <c r="W39" s="15">
        <f>+COUNTIF(S5:S40,"No")</f>
        <v>6</v>
      </c>
      <c r="X39" s="126"/>
      <c r="Y39" s="6" t="s">
        <v>115</v>
      </c>
      <c r="Z39" s="51">
        <f>COUNTIFS($C$5:$C$65,"F",$S$5:$S$65,"Si")</f>
        <v>16</v>
      </c>
      <c r="AA39" s="126"/>
      <c r="AB39" s="6" t="s">
        <v>115</v>
      </c>
      <c r="AC39" s="57">
        <f>COUNTIFS($C$5:$C$65,"F",$S$5:$S$65,"No")</f>
        <v>4</v>
      </c>
      <c r="AD39" s="126"/>
      <c r="AE39" s="6" t="s">
        <v>5</v>
      </c>
      <c r="AF39" s="6">
        <f>COUNTIFS($E$5:$E$65,"1",$S$6:$S$66,"Si")</f>
        <v>2</v>
      </c>
      <c r="AG39" s="39" t="s">
        <v>8</v>
      </c>
      <c r="AH39" s="6">
        <f>COUNTIFS($H$5:$H$65,"1",$S$5:$S$65,"Si")</f>
        <v>6</v>
      </c>
      <c r="AI39" s="6"/>
      <c r="AJ39" s="51"/>
      <c r="AK39" s="50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5.75" thickBot="1" x14ac:dyDescent="0.3">
      <c r="A40" s="3">
        <v>36</v>
      </c>
      <c r="B40" s="29">
        <v>42929</v>
      </c>
      <c r="C40" s="31" t="s">
        <v>30</v>
      </c>
      <c r="D40" s="4"/>
      <c r="E40" s="4"/>
      <c r="F40" s="4"/>
      <c r="G40" s="4"/>
      <c r="H40" s="6">
        <v>1</v>
      </c>
      <c r="I40" s="4"/>
      <c r="J40" s="28" t="s">
        <v>55</v>
      </c>
      <c r="K40" s="28" t="s">
        <v>58</v>
      </c>
      <c r="L40" s="31" t="s">
        <v>20</v>
      </c>
      <c r="M40" s="31" t="s">
        <v>20</v>
      </c>
      <c r="N40" s="31" t="s">
        <v>25</v>
      </c>
      <c r="O40" s="31" t="s">
        <v>20</v>
      </c>
      <c r="P40" s="31" t="s">
        <v>20</v>
      </c>
      <c r="Q40" s="31" t="s">
        <v>27</v>
      </c>
      <c r="R40" s="31" t="s">
        <v>20</v>
      </c>
      <c r="S40" s="31" t="s">
        <v>20</v>
      </c>
      <c r="U40" s="110"/>
      <c r="V40" s="13" t="s">
        <v>29</v>
      </c>
      <c r="W40" s="16">
        <f>+COUNTIF(S5:S40,"Blanco")</f>
        <v>0</v>
      </c>
      <c r="X40" s="127"/>
      <c r="Y40" s="26" t="s">
        <v>29</v>
      </c>
      <c r="Z40" s="52">
        <f>COUNTIFS($C$5:$C$65,"Blanco",$S$5:$S$65,"Si")</f>
        <v>0</v>
      </c>
      <c r="AA40" s="127"/>
      <c r="AB40" s="26" t="s">
        <v>29</v>
      </c>
      <c r="AC40" s="58">
        <f>COUNTIFS($C$5:$C$65,"Blanco",$S$5:$S$65,"No")</f>
        <v>0</v>
      </c>
      <c r="AD40" s="127"/>
      <c r="AE40" s="26" t="s">
        <v>6</v>
      </c>
      <c r="AF40" s="26">
        <f>COUNTIFS($F$5:$F$65,"1",$S$5:$S$65,"Si")</f>
        <v>6</v>
      </c>
      <c r="AG40" s="26" t="s">
        <v>9</v>
      </c>
      <c r="AH40" s="26">
        <f>COUNTIFS($I$5:$I$65,"1",$S$5:$S$65,"Si")</f>
        <v>8</v>
      </c>
      <c r="AI40" s="26"/>
      <c r="AJ40" s="52"/>
      <c r="AK40" s="50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</sheetData>
  <mergeCells count="58">
    <mergeCell ref="X38:X40"/>
    <mergeCell ref="AA38:AA40"/>
    <mergeCell ref="AD38:AD40"/>
    <mergeCell ref="AG31:AG33"/>
    <mergeCell ref="AK31:AK33"/>
    <mergeCell ref="AR31:AR33"/>
    <mergeCell ref="X35:X37"/>
    <mergeCell ref="AA35:AA37"/>
    <mergeCell ref="AD35:AD37"/>
    <mergeCell ref="X28:X30"/>
    <mergeCell ref="AA28:AA30"/>
    <mergeCell ref="AD28:AD30"/>
    <mergeCell ref="X31:X33"/>
    <mergeCell ref="AA31:AA33"/>
    <mergeCell ref="AD31:AD33"/>
    <mergeCell ref="X22:X24"/>
    <mergeCell ref="AA22:AA24"/>
    <mergeCell ref="AD22:AD24"/>
    <mergeCell ref="X25:X27"/>
    <mergeCell ref="AA25:AA27"/>
    <mergeCell ref="AD25:AD27"/>
    <mergeCell ref="X16:X18"/>
    <mergeCell ref="AA16:AA18"/>
    <mergeCell ref="AD16:AD18"/>
    <mergeCell ref="X19:X21"/>
    <mergeCell ref="AA19:AA21"/>
    <mergeCell ref="AD19:AD21"/>
    <mergeCell ref="U31:U34"/>
    <mergeCell ref="U35:U37"/>
    <mergeCell ref="U38:U40"/>
    <mergeCell ref="U13:U15"/>
    <mergeCell ref="U16:U18"/>
    <mergeCell ref="U19:U21"/>
    <mergeCell ref="U22:U24"/>
    <mergeCell ref="U25:U27"/>
    <mergeCell ref="U28:U30"/>
    <mergeCell ref="U6:U12"/>
    <mergeCell ref="L3:L4"/>
    <mergeCell ref="M3:M4"/>
    <mergeCell ref="N3:N4"/>
    <mergeCell ref="O3:O4"/>
    <mergeCell ref="P3:P4"/>
    <mergeCell ref="Q3:Q4"/>
    <mergeCell ref="R3:R4"/>
    <mergeCell ref="S3:S4"/>
    <mergeCell ref="U3:V3"/>
    <mergeCell ref="U4:V4"/>
    <mergeCell ref="U5:V5"/>
    <mergeCell ref="A1:S1"/>
    <mergeCell ref="U1:W1"/>
    <mergeCell ref="A2:S2"/>
    <mergeCell ref="U2:V2"/>
    <mergeCell ref="A3:A4"/>
    <mergeCell ref="B3:B4"/>
    <mergeCell ref="C3:C4"/>
    <mergeCell ref="D3:I3"/>
    <mergeCell ref="J3:J4"/>
    <mergeCell ref="K3:K4"/>
  </mergeCell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65"/>
  <sheetViews>
    <sheetView topLeftCell="V1" zoomScale="50" zoomScaleNormal="50" workbookViewId="0">
      <selection activeCell="AX34" sqref="AT34:AX36"/>
    </sheetView>
  </sheetViews>
  <sheetFormatPr baseColWidth="10" defaultRowHeight="15" x14ac:dyDescent="0.25"/>
  <cols>
    <col min="1" max="1" width="6.28515625" style="1" bestFit="1" customWidth="1"/>
    <col min="2" max="2" width="17.42578125" customWidth="1"/>
    <col min="4" max="4" width="9.7109375" bestFit="1" customWidth="1"/>
    <col min="5" max="5" width="10.140625" bestFit="1" customWidth="1"/>
    <col min="6" max="6" width="9.7109375" bestFit="1" customWidth="1"/>
    <col min="7" max="7" width="10.140625" bestFit="1" customWidth="1"/>
    <col min="8" max="8" width="9.7109375" bestFit="1" customWidth="1"/>
    <col min="9" max="9" width="14.140625" customWidth="1"/>
    <col min="10" max="10" width="20.140625" bestFit="1" customWidth="1"/>
    <col min="11" max="11" width="12.85546875" bestFit="1" customWidth="1"/>
    <col min="12" max="19" width="14.28515625" customWidth="1"/>
    <col min="21" max="21" width="48.42578125" style="7" customWidth="1"/>
    <col min="22" max="22" width="23.85546875" bestFit="1" customWidth="1"/>
    <col min="23" max="23" width="11.42578125" style="1"/>
  </cols>
  <sheetData>
    <row r="1" spans="1:23" ht="15.75" thickBot="1" x14ac:dyDescent="0.3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U1" s="144" t="s">
        <v>46</v>
      </c>
      <c r="V1" s="145"/>
      <c r="W1" s="148"/>
    </row>
    <row r="2" spans="1:23" ht="15.75" thickBot="1" x14ac:dyDescent="0.3">
      <c r="A2" s="123" t="s">
        <v>21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U2" s="144" t="s">
        <v>44</v>
      </c>
      <c r="V2" s="145"/>
      <c r="W2" s="17">
        <f>+COUNTIF(C5:C65,"M")</f>
        <v>29</v>
      </c>
    </row>
    <row r="3" spans="1:23" ht="15.75" customHeight="1" thickBot="1" x14ac:dyDescent="0.3">
      <c r="A3" s="149" t="s">
        <v>22</v>
      </c>
      <c r="B3" s="151" t="s">
        <v>2</v>
      </c>
      <c r="C3" s="149" t="s">
        <v>1</v>
      </c>
      <c r="D3" s="123" t="s">
        <v>3</v>
      </c>
      <c r="E3" s="123"/>
      <c r="F3" s="123"/>
      <c r="G3" s="123"/>
      <c r="H3" s="123"/>
      <c r="I3" s="123"/>
      <c r="J3" s="149" t="s">
        <v>11</v>
      </c>
      <c r="K3" s="149" t="s">
        <v>10</v>
      </c>
      <c r="L3" s="142" t="s">
        <v>12</v>
      </c>
      <c r="M3" s="142" t="s">
        <v>13</v>
      </c>
      <c r="N3" s="142" t="s">
        <v>14</v>
      </c>
      <c r="O3" s="142" t="s">
        <v>15</v>
      </c>
      <c r="P3" s="142" t="s">
        <v>16</v>
      </c>
      <c r="Q3" s="142" t="s">
        <v>17</v>
      </c>
      <c r="R3" s="142" t="s">
        <v>18</v>
      </c>
      <c r="S3" s="142" t="s">
        <v>19</v>
      </c>
      <c r="U3" s="144" t="s">
        <v>45</v>
      </c>
      <c r="V3" s="145"/>
      <c r="W3" s="17">
        <f>+COUNTIF(C5:C65,"F")</f>
        <v>29</v>
      </c>
    </row>
    <row r="4" spans="1:23" ht="15.75" customHeight="1" thickBot="1" x14ac:dyDescent="0.3">
      <c r="A4" s="150"/>
      <c r="B4" s="152"/>
      <c r="C4" s="150"/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150"/>
      <c r="K4" s="150"/>
      <c r="L4" s="143"/>
      <c r="M4" s="143"/>
      <c r="N4" s="143"/>
      <c r="O4" s="143"/>
      <c r="P4" s="143"/>
      <c r="Q4" s="143"/>
      <c r="R4" s="143"/>
      <c r="S4" s="143"/>
      <c r="U4" s="146" t="s">
        <v>29</v>
      </c>
      <c r="V4" s="147"/>
      <c r="W4" s="17">
        <f>+COUNTIF(C5:C65,"Blanco")</f>
        <v>3</v>
      </c>
    </row>
    <row r="5" spans="1:23" ht="15.75" thickBot="1" x14ac:dyDescent="0.3">
      <c r="A5" s="3">
        <v>1</v>
      </c>
      <c r="B5" s="29">
        <v>42933</v>
      </c>
      <c r="C5" s="28" t="s">
        <v>23</v>
      </c>
      <c r="D5" s="28">
        <v>1</v>
      </c>
      <c r="E5" s="28"/>
      <c r="F5" s="28"/>
      <c r="G5" s="28"/>
      <c r="H5" s="28"/>
      <c r="I5" s="28"/>
      <c r="J5" s="33" t="s">
        <v>77</v>
      </c>
      <c r="K5" s="33" t="s">
        <v>72</v>
      </c>
      <c r="L5" s="28" t="s">
        <v>25</v>
      </c>
      <c r="M5" s="28" t="s">
        <v>25</v>
      </c>
      <c r="N5" s="28" t="s">
        <v>25</v>
      </c>
      <c r="O5" s="28" t="s">
        <v>25</v>
      </c>
      <c r="P5" s="28" t="s">
        <v>25</v>
      </c>
      <c r="Q5" s="28" t="s">
        <v>28</v>
      </c>
      <c r="R5" s="28" t="s">
        <v>25</v>
      </c>
      <c r="S5" s="28" t="s">
        <v>25</v>
      </c>
      <c r="U5" s="146" t="s">
        <v>47</v>
      </c>
      <c r="V5" s="147"/>
      <c r="W5" s="18">
        <f>SUM(W2:W4)</f>
        <v>61</v>
      </c>
    </row>
    <row r="6" spans="1:23" x14ac:dyDescent="0.25">
      <c r="A6" s="3">
        <v>2</v>
      </c>
      <c r="B6" s="29">
        <v>42933</v>
      </c>
      <c r="C6" s="28" t="s">
        <v>23</v>
      </c>
      <c r="D6" s="28"/>
      <c r="E6" s="28">
        <v>1</v>
      </c>
      <c r="F6" s="28"/>
      <c r="G6" s="28"/>
      <c r="H6" s="28"/>
      <c r="I6" s="28"/>
      <c r="J6" s="33" t="s">
        <v>77</v>
      </c>
      <c r="K6" s="33" t="s">
        <v>72</v>
      </c>
      <c r="L6" s="28" t="s">
        <v>25</v>
      </c>
      <c r="M6" s="28" t="s">
        <v>25</v>
      </c>
      <c r="N6" s="28" t="s">
        <v>25</v>
      </c>
      <c r="O6" s="28" t="s">
        <v>25</v>
      </c>
      <c r="P6" s="28" t="s">
        <v>25</v>
      </c>
      <c r="Q6" s="28" t="s">
        <v>26</v>
      </c>
      <c r="R6" s="28" t="s">
        <v>25</v>
      </c>
      <c r="S6" s="28" t="s">
        <v>25</v>
      </c>
      <c r="U6" s="140" t="s">
        <v>3</v>
      </c>
      <c r="V6" s="11" t="s">
        <v>4</v>
      </c>
      <c r="W6" s="14">
        <f>+COUNTIF(D5:D65,"1")</f>
        <v>18</v>
      </c>
    </row>
    <row r="7" spans="1:23" x14ac:dyDescent="0.25">
      <c r="A7" s="3">
        <v>3</v>
      </c>
      <c r="B7" s="29">
        <v>42933</v>
      </c>
      <c r="C7" s="28" t="s">
        <v>30</v>
      </c>
      <c r="D7" s="28">
        <v>1</v>
      </c>
      <c r="E7" s="28"/>
      <c r="F7" s="28"/>
      <c r="G7" s="28"/>
      <c r="H7" s="28"/>
      <c r="I7" s="28"/>
      <c r="J7" s="33" t="s">
        <v>77</v>
      </c>
      <c r="K7" s="33" t="s">
        <v>72</v>
      </c>
      <c r="L7" s="28" t="s">
        <v>20</v>
      </c>
      <c r="M7" s="28" t="s">
        <v>20</v>
      </c>
      <c r="N7" s="28" t="s">
        <v>25</v>
      </c>
      <c r="O7" s="28" t="s">
        <v>20</v>
      </c>
      <c r="P7" s="28" t="s">
        <v>25</v>
      </c>
      <c r="Q7" s="28" t="s">
        <v>26</v>
      </c>
      <c r="R7" s="28" t="s">
        <v>20</v>
      </c>
      <c r="S7" s="28" t="s">
        <v>25</v>
      </c>
      <c r="U7" s="141"/>
      <c r="V7" s="8" t="s">
        <v>5</v>
      </c>
      <c r="W7" s="15">
        <f>+COUNTIF(E5:E65,"1")</f>
        <v>11</v>
      </c>
    </row>
    <row r="8" spans="1:23" x14ac:dyDescent="0.25">
      <c r="A8" s="36">
        <v>4</v>
      </c>
      <c r="B8" s="29">
        <v>42933</v>
      </c>
      <c r="C8" s="28" t="s">
        <v>23</v>
      </c>
      <c r="D8" s="28">
        <v>1</v>
      </c>
      <c r="E8" s="28"/>
      <c r="F8" s="28"/>
      <c r="G8" s="28"/>
      <c r="H8" s="28"/>
      <c r="I8" s="28"/>
      <c r="J8" s="33" t="s">
        <v>77</v>
      </c>
      <c r="K8" s="33" t="s">
        <v>72</v>
      </c>
      <c r="L8" s="28" t="s">
        <v>20</v>
      </c>
      <c r="M8" s="28" t="s">
        <v>20</v>
      </c>
      <c r="N8" s="28" t="s">
        <v>25</v>
      </c>
      <c r="O8" s="28" t="s">
        <v>25</v>
      </c>
      <c r="P8" s="28" t="s">
        <v>25</v>
      </c>
      <c r="Q8" s="28" t="s">
        <v>28</v>
      </c>
      <c r="R8" s="28" t="s">
        <v>20</v>
      </c>
      <c r="S8" s="28" t="s">
        <v>20</v>
      </c>
      <c r="T8" s="30"/>
      <c r="U8" s="141"/>
      <c r="V8" s="8" t="s">
        <v>6</v>
      </c>
      <c r="W8" s="15">
        <f>+COUNTIF(F5:F65,"1")</f>
        <v>8</v>
      </c>
    </row>
    <row r="9" spans="1:23" x14ac:dyDescent="0.25">
      <c r="A9" s="36">
        <v>5</v>
      </c>
      <c r="B9" s="29">
        <v>42933</v>
      </c>
      <c r="C9" s="28" t="s">
        <v>23</v>
      </c>
      <c r="D9" s="28">
        <v>1</v>
      </c>
      <c r="E9" s="28"/>
      <c r="F9" s="28"/>
      <c r="G9" s="28"/>
      <c r="H9" s="28"/>
      <c r="I9" s="28"/>
      <c r="J9" s="33" t="s">
        <v>77</v>
      </c>
      <c r="K9" s="33" t="s">
        <v>72</v>
      </c>
      <c r="L9" s="28" t="s">
        <v>25</v>
      </c>
      <c r="M9" s="28" t="s">
        <v>20</v>
      </c>
      <c r="N9" s="28" t="s">
        <v>25</v>
      </c>
      <c r="O9" s="28" t="s">
        <v>20</v>
      </c>
      <c r="P9" s="28" t="s">
        <v>25</v>
      </c>
      <c r="Q9" s="28" t="s">
        <v>27</v>
      </c>
      <c r="R9" s="28" t="s">
        <v>20</v>
      </c>
      <c r="S9" s="28" t="s">
        <v>20</v>
      </c>
      <c r="U9" s="141"/>
      <c r="V9" s="8" t="s">
        <v>7</v>
      </c>
      <c r="W9" s="15">
        <f>+COUNTIF(G5:G65,"1")</f>
        <v>4</v>
      </c>
    </row>
    <row r="10" spans="1:23" x14ac:dyDescent="0.25">
      <c r="A10" s="36">
        <v>6</v>
      </c>
      <c r="B10" s="29">
        <v>42933</v>
      </c>
      <c r="C10" s="28" t="s">
        <v>23</v>
      </c>
      <c r="D10" s="28"/>
      <c r="E10" s="28">
        <v>1</v>
      </c>
      <c r="F10" s="28"/>
      <c r="G10" s="28"/>
      <c r="H10" s="28"/>
      <c r="I10" s="28"/>
      <c r="J10" s="33" t="s">
        <v>77</v>
      </c>
      <c r="K10" s="33" t="s">
        <v>72</v>
      </c>
      <c r="L10" s="28" t="s">
        <v>20</v>
      </c>
      <c r="M10" s="28" t="s">
        <v>20</v>
      </c>
      <c r="N10" s="28" t="s">
        <v>20</v>
      </c>
      <c r="O10" s="28" t="s">
        <v>20</v>
      </c>
      <c r="P10" s="28" t="s">
        <v>20</v>
      </c>
      <c r="Q10" s="28" t="s">
        <v>34</v>
      </c>
      <c r="R10" s="28" t="s">
        <v>25</v>
      </c>
      <c r="S10" s="28" t="s">
        <v>25</v>
      </c>
      <c r="U10" s="141"/>
      <c r="V10" s="8" t="s">
        <v>8</v>
      </c>
      <c r="W10" s="15">
        <f>+COUNTIF(H5:H65,"1")</f>
        <v>5</v>
      </c>
    </row>
    <row r="11" spans="1:23" x14ac:dyDescent="0.25">
      <c r="A11" s="36">
        <v>7</v>
      </c>
      <c r="B11" s="29">
        <v>42933</v>
      </c>
      <c r="C11" s="28" t="s">
        <v>23</v>
      </c>
      <c r="D11" s="28"/>
      <c r="E11" s="28">
        <v>1</v>
      </c>
      <c r="F11" s="28"/>
      <c r="G11" s="28"/>
      <c r="H11" s="28"/>
      <c r="I11" s="28"/>
      <c r="J11" s="33" t="s">
        <v>77</v>
      </c>
      <c r="K11" s="33" t="s">
        <v>72</v>
      </c>
      <c r="L11" s="28" t="s">
        <v>20</v>
      </c>
      <c r="M11" s="28" t="s">
        <v>20</v>
      </c>
      <c r="N11" s="28" t="s">
        <v>20</v>
      </c>
      <c r="O11" s="28" t="s">
        <v>20</v>
      </c>
      <c r="P11" s="28" t="s">
        <v>25</v>
      </c>
      <c r="Q11" s="28" t="s">
        <v>28</v>
      </c>
      <c r="R11" s="28" t="s">
        <v>20</v>
      </c>
      <c r="S11" s="28" t="s">
        <v>20</v>
      </c>
      <c r="U11" s="141"/>
      <c r="V11" s="22" t="s">
        <v>9</v>
      </c>
      <c r="W11" s="23">
        <f>+COUNTIF(I5:I65,"1")</f>
        <v>15</v>
      </c>
    </row>
    <row r="12" spans="1:23" ht="15.75" thickBot="1" x14ac:dyDescent="0.3">
      <c r="A12" s="36">
        <v>8</v>
      </c>
      <c r="B12" s="29">
        <v>42933</v>
      </c>
      <c r="C12" s="28" t="s">
        <v>30</v>
      </c>
      <c r="D12" s="28"/>
      <c r="E12" s="28"/>
      <c r="F12" s="28"/>
      <c r="G12" s="28"/>
      <c r="H12" s="28">
        <v>1</v>
      </c>
      <c r="I12" s="28"/>
      <c r="J12" s="33" t="s">
        <v>77</v>
      </c>
      <c r="K12" s="33" t="s">
        <v>72</v>
      </c>
      <c r="L12" s="28" t="s">
        <v>25</v>
      </c>
      <c r="M12" s="28" t="s">
        <v>20</v>
      </c>
      <c r="N12" s="28" t="s">
        <v>20</v>
      </c>
      <c r="O12" s="28" t="s">
        <v>20</v>
      </c>
      <c r="P12" s="28" t="s">
        <v>20</v>
      </c>
      <c r="Q12" s="28" t="s">
        <v>28</v>
      </c>
      <c r="R12" s="28" t="s">
        <v>20</v>
      </c>
      <c r="S12" s="28" t="s">
        <v>25</v>
      </c>
      <c r="U12" s="141"/>
      <c r="V12" s="34" t="s">
        <v>29</v>
      </c>
      <c r="W12" s="23">
        <f>+COUNTIF(I5:I65,"Blanco")</f>
        <v>0</v>
      </c>
    </row>
    <row r="13" spans="1:23" x14ac:dyDescent="0.25">
      <c r="A13" s="36">
        <v>9</v>
      </c>
      <c r="B13" s="29">
        <v>42933</v>
      </c>
      <c r="C13" s="28" t="s">
        <v>23</v>
      </c>
      <c r="D13" s="28">
        <v>1</v>
      </c>
      <c r="E13" s="28"/>
      <c r="F13" s="28"/>
      <c r="G13" s="28"/>
      <c r="H13" s="28"/>
      <c r="I13" s="28"/>
      <c r="J13" s="33" t="s">
        <v>77</v>
      </c>
      <c r="K13" s="33" t="s">
        <v>72</v>
      </c>
      <c r="L13" s="28" t="s">
        <v>25</v>
      </c>
      <c r="M13" s="28" t="s">
        <v>25</v>
      </c>
      <c r="N13" s="28" t="s">
        <v>25</v>
      </c>
      <c r="O13" s="28" t="s">
        <v>25</v>
      </c>
      <c r="P13" s="28" t="s">
        <v>25</v>
      </c>
      <c r="Q13" s="28" t="s">
        <v>28</v>
      </c>
      <c r="R13" s="28" t="s">
        <v>25</v>
      </c>
      <c r="S13" s="28" t="s">
        <v>25</v>
      </c>
      <c r="U13" s="137" t="s">
        <v>35</v>
      </c>
      <c r="V13" s="19" t="s">
        <v>72</v>
      </c>
      <c r="W13" s="14">
        <f>+COUNTIF(K5:K65,"Nacaome")</f>
        <v>15</v>
      </c>
    </row>
    <row r="14" spans="1:23" x14ac:dyDescent="0.25">
      <c r="A14" s="36">
        <v>10</v>
      </c>
      <c r="B14" s="29">
        <v>42933</v>
      </c>
      <c r="C14" s="28" t="s">
        <v>23</v>
      </c>
      <c r="D14" s="28"/>
      <c r="E14" s="28"/>
      <c r="F14" s="28">
        <v>1</v>
      </c>
      <c r="G14" s="28"/>
      <c r="H14" s="28"/>
      <c r="I14" s="28"/>
      <c r="J14" s="33" t="s">
        <v>77</v>
      </c>
      <c r="K14" s="33" t="s">
        <v>72</v>
      </c>
      <c r="L14" s="28" t="s">
        <v>20</v>
      </c>
      <c r="M14" s="28" t="s">
        <v>20</v>
      </c>
      <c r="N14" s="28" t="s">
        <v>20</v>
      </c>
      <c r="O14" s="28" t="s">
        <v>20</v>
      </c>
      <c r="P14" s="28" t="s">
        <v>20</v>
      </c>
      <c r="Q14" s="28" t="s">
        <v>28</v>
      </c>
      <c r="R14" s="28" t="s">
        <v>20</v>
      </c>
      <c r="S14" s="28" t="s">
        <v>25</v>
      </c>
      <c r="U14" s="109"/>
      <c r="V14" s="6" t="s">
        <v>73</v>
      </c>
      <c r="W14" s="15">
        <f>+COUNTIF(K5:K65,"San Lorenzo")</f>
        <v>12</v>
      </c>
    </row>
    <row r="15" spans="1:23" x14ac:dyDescent="0.25">
      <c r="A15" s="36">
        <v>11</v>
      </c>
      <c r="B15" s="29">
        <v>42933</v>
      </c>
      <c r="C15" s="28" t="s">
        <v>23</v>
      </c>
      <c r="D15" s="28">
        <v>1</v>
      </c>
      <c r="E15" s="28"/>
      <c r="F15" s="28"/>
      <c r="G15" s="28"/>
      <c r="H15" s="28"/>
      <c r="I15" s="28"/>
      <c r="J15" s="33" t="s">
        <v>77</v>
      </c>
      <c r="K15" s="33" t="s">
        <v>72</v>
      </c>
      <c r="L15" s="28" t="s">
        <v>25</v>
      </c>
      <c r="M15" s="28" t="s">
        <v>25</v>
      </c>
      <c r="N15" s="28" t="s">
        <v>25</v>
      </c>
      <c r="O15" s="28" t="s">
        <v>25</v>
      </c>
      <c r="P15" s="28" t="s">
        <v>25</v>
      </c>
      <c r="Q15" s="28" t="s">
        <v>28</v>
      </c>
      <c r="R15" s="28" t="s">
        <v>25</v>
      </c>
      <c r="S15" s="28" t="s">
        <v>25</v>
      </c>
      <c r="U15" s="109"/>
      <c r="V15" s="35" t="s">
        <v>74</v>
      </c>
      <c r="W15" s="15">
        <f>+COUNTIF(K5:K65,"Coray")</f>
        <v>12</v>
      </c>
    </row>
    <row r="16" spans="1:23" x14ac:dyDescent="0.25">
      <c r="A16" s="36">
        <v>12</v>
      </c>
      <c r="B16" s="29">
        <v>42933</v>
      </c>
      <c r="C16" s="28" t="s">
        <v>30</v>
      </c>
      <c r="D16" s="28"/>
      <c r="E16" s="28"/>
      <c r="F16" s="28"/>
      <c r="G16" s="28">
        <v>1</v>
      </c>
      <c r="H16" s="28"/>
      <c r="I16" s="28"/>
      <c r="J16" s="33" t="s">
        <v>77</v>
      </c>
      <c r="K16" s="33" t="s">
        <v>72</v>
      </c>
      <c r="L16" s="28" t="s">
        <v>25</v>
      </c>
      <c r="M16" s="28" t="s">
        <v>25</v>
      </c>
      <c r="N16" s="28" t="s">
        <v>25</v>
      </c>
      <c r="O16" s="28" t="s">
        <v>25</v>
      </c>
      <c r="P16" s="28" t="s">
        <v>25</v>
      </c>
      <c r="Q16" s="28" t="s">
        <v>26</v>
      </c>
      <c r="R16" s="28" t="s">
        <v>25</v>
      </c>
      <c r="S16" s="28" t="s">
        <v>25</v>
      </c>
      <c r="U16" s="109"/>
      <c r="V16" s="6" t="s">
        <v>75</v>
      </c>
      <c r="W16" s="15">
        <f>+COUNTIF(K5:K65,"Alianza")</f>
        <v>10</v>
      </c>
    </row>
    <row r="17" spans="1:50" x14ac:dyDescent="0.25">
      <c r="A17" s="36">
        <v>13</v>
      </c>
      <c r="B17" s="29">
        <v>42933</v>
      </c>
      <c r="C17" s="28" t="s">
        <v>30</v>
      </c>
      <c r="D17" s="28">
        <v>1</v>
      </c>
      <c r="E17" s="28"/>
      <c r="F17" s="28"/>
      <c r="G17" s="28"/>
      <c r="H17" s="28"/>
      <c r="I17" s="28"/>
      <c r="J17" s="33" t="s">
        <v>77</v>
      </c>
      <c r="K17" s="33" t="s">
        <v>72</v>
      </c>
      <c r="L17" s="28" t="s">
        <v>20</v>
      </c>
      <c r="M17" s="28" t="s">
        <v>20</v>
      </c>
      <c r="N17" s="28" t="s">
        <v>25</v>
      </c>
      <c r="O17" s="28" t="s">
        <v>25</v>
      </c>
      <c r="P17" s="28" t="s">
        <v>25</v>
      </c>
      <c r="Q17" s="28" t="s">
        <v>28</v>
      </c>
      <c r="R17" s="28" t="s">
        <v>25</v>
      </c>
      <c r="S17" s="28" t="s">
        <v>25</v>
      </c>
      <c r="U17" s="138"/>
      <c r="V17" s="34" t="s">
        <v>79</v>
      </c>
      <c r="W17" s="15">
        <f>+COUNTIF(K5:K65,"Aramecina")</f>
        <v>10</v>
      </c>
    </row>
    <row r="18" spans="1:50" ht="15.75" thickBot="1" x14ac:dyDescent="0.3">
      <c r="A18" s="36">
        <v>14</v>
      </c>
      <c r="B18" s="29">
        <v>42933</v>
      </c>
      <c r="C18" s="28" t="s">
        <v>23</v>
      </c>
      <c r="D18" s="28"/>
      <c r="E18" s="28"/>
      <c r="F18" s="28">
        <v>1</v>
      </c>
      <c r="G18" s="28"/>
      <c r="H18" s="28"/>
      <c r="I18" s="28"/>
      <c r="J18" s="33" t="s">
        <v>77</v>
      </c>
      <c r="K18" s="33" t="s">
        <v>72</v>
      </c>
      <c r="L18" s="28" t="s">
        <v>25</v>
      </c>
      <c r="M18" s="28" t="s">
        <v>25</v>
      </c>
      <c r="N18" s="28" t="s">
        <v>25</v>
      </c>
      <c r="O18" s="28" t="s">
        <v>25</v>
      </c>
      <c r="P18" s="28" t="s">
        <v>25</v>
      </c>
      <c r="Q18" s="28" t="s">
        <v>34</v>
      </c>
      <c r="R18" s="28" t="s">
        <v>25</v>
      </c>
      <c r="S18" s="28" t="s">
        <v>25</v>
      </c>
      <c r="U18" s="110"/>
      <c r="V18" s="26" t="s">
        <v>76</v>
      </c>
      <c r="W18" s="16">
        <f>+COUNTIF(K5:K65,"Caridad")</f>
        <v>2</v>
      </c>
    </row>
    <row r="19" spans="1:50" ht="15" customHeight="1" x14ac:dyDescent="0.25">
      <c r="A19" s="36">
        <v>15</v>
      </c>
      <c r="B19" s="29">
        <v>42933</v>
      </c>
      <c r="C19" s="28" t="s">
        <v>23</v>
      </c>
      <c r="D19" s="28"/>
      <c r="E19" s="28">
        <v>1</v>
      </c>
      <c r="F19" s="28"/>
      <c r="G19" s="28"/>
      <c r="H19" s="28"/>
      <c r="I19" s="28"/>
      <c r="J19" s="33" t="s">
        <v>77</v>
      </c>
      <c r="K19" s="33" t="s">
        <v>72</v>
      </c>
      <c r="L19" s="28" t="s">
        <v>25</v>
      </c>
      <c r="M19" s="28" t="s">
        <v>25</v>
      </c>
      <c r="N19" s="28" t="s">
        <v>25</v>
      </c>
      <c r="O19" s="28" t="s">
        <v>25</v>
      </c>
      <c r="P19" s="28" t="s">
        <v>25</v>
      </c>
      <c r="Q19" s="28" t="s">
        <v>28</v>
      </c>
      <c r="R19" s="28" t="s">
        <v>25</v>
      </c>
      <c r="S19" s="28" t="s">
        <v>25</v>
      </c>
      <c r="U19" s="139" t="s">
        <v>36</v>
      </c>
      <c r="V19" s="10" t="s">
        <v>20</v>
      </c>
      <c r="W19" s="25">
        <f>+COUNTIF(L5:L65,"Si")</f>
        <v>20</v>
      </c>
      <c r="X19" s="125" t="s">
        <v>118</v>
      </c>
      <c r="Y19" s="48" t="s">
        <v>114</v>
      </c>
      <c r="Z19" s="49">
        <f>COUNTIFS($C$5:$C$65,"M",$L$5:$L$65,"Si")</f>
        <v>8</v>
      </c>
      <c r="AA19" s="125" t="s">
        <v>117</v>
      </c>
      <c r="AB19" s="48" t="s">
        <v>114</v>
      </c>
      <c r="AC19" s="55">
        <f>COUNTIFS($C$5:$C$65,"M",$L$5:$L$65,"No")</f>
        <v>21</v>
      </c>
      <c r="AD19" s="125" t="s">
        <v>118</v>
      </c>
      <c r="AE19" s="48" t="s">
        <v>4</v>
      </c>
      <c r="AF19" s="48">
        <f>COUNTIFS($D$5:$D$65,"1",$L$5:$L$65,"Si")</f>
        <v>5</v>
      </c>
      <c r="AG19" s="48" t="s">
        <v>7</v>
      </c>
      <c r="AH19" s="48">
        <f>COUNTIFS($G$5:$G$65,"1",$L$5:$L$65,"Si")</f>
        <v>0</v>
      </c>
      <c r="AI19" s="48" t="s">
        <v>29</v>
      </c>
      <c r="AJ19" s="49">
        <f>COUNTIFS($I$5:$I$65,"Blanco",$L$5:$L$65,"Si")</f>
        <v>0</v>
      </c>
      <c r="AK19" s="50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x14ac:dyDescent="0.25">
      <c r="A20" s="36">
        <v>16</v>
      </c>
      <c r="B20" s="29">
        <v>42927</v>
      </c>
      <c r="C20" s="28" t="s">
        <v>23</v>
      </c>
      <c r="D20" s="28"/>
      <c r="E20" s="28"/>
      <c r="F20" s="28">
        <v>1</v>
      </c>
      <c r="G20" s="28"/>
      <c r="H20" s="28"/>
      <c r="I20" s="28"/>
      <c r="J20" s="33" t="s">
        <v>77</v>
      </c>
      <c r="K20" s="28" t="s">
        <v>73</v>
      </c>
      <c r="L20" s="28" t="s">
        <v>25</v>
      </c>
      <c r="M20" s="28" t="s">
        <v>25</v>
      </c>
      <c r="N20" s="28" t="s">
        <v>25</v>
      </c>
      <c r="O20" s="28" t="s">
        <v>25</v>
      </c>
      <c r="P20" s="28" t="s">
        <v>25</v>
      </c>
      <c r="Q20" s="28" t="s">
        <v>26</v>
      </c>
      <c r="R20" s="28" t="s">
        <v>25</v>
      </c>
      <c r="S20" s="28" t="s">
        <v>25</v>
      </c>
      <c r="U20" s="109"/>
      <c r="V20" s="9" t="s">
        <v>25</v>
      </c>
      <c r="W20" s="15">
        <f>+COUNTIF(L5:L65,"No")</f>
        <v>41</v>
      </c>
      <c r="X20" s="126"/>
      <c r="Y20" s="6" t="s">
        <v>115</v>
      </c>
      <c r="Z20" s="51">
        <f>COUNTIFS($C$5:$C$65,"F",$L$5:$L$65,"Si")</f>
        <v>12</v>
      </c>
      <c r="AA20" s="126"/>
      <c r="AB20" s="6" t="s">
        <v>115</v>
      </c>
      <c r="AC20" s="57">
        <f>COUNTIFS($C$5:$C$65,"F",$L$5:$L$65,"No")</f>
        <v>17</v>
      </c>
      <c r="AD20" s="126"/>
      <c r="AE20" s="6" t="s">
        <v>5</v>
      </c>
      <c r="AF20" s="6">
        <f>COUNTIFS($E$5:$E$65,"1",$L$5:$L$65,"Si")</f>
        <v>5</v>
      </c>
      <c r="AG20" s="39" t="s">
        <v>8</v>
      </c>
      <c r="AH20" s="6">
        <f>COUNTIFS($H$5:$H$65,"1",$L$5:$L$65,"Si")</f>
        <v>2</v>
      </c>
      <c r="AI20" s="6"/>
      <c r="AJ20" s="51"/>
      <c r="AK20" s="50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5.75" thickBot="1" x14ac:dyDescent="0.3">
      <c r="A21" s="36">
        <v>17</v>
      </c>
      <c r="B21" s="29">
        <v>42927</v>
      </c>
      <c r="C21" s="28" t="s">
        <v>30</v>
      </c>
      <c r="D21" s="28">
        <v>1</v>
      </c>
      <c r="E21" s="28"/>
      <c r="F21" s="28"/>
      <c r="G21" s="28"/>
      <c r="H21" s="28"/>
      <c r="I21" s="28"/>
      <c r="J21" s="33" t="s">
        <v>77</v>
      </c>
      <c r="K21" s="28" t="s">
        <v>73</v>
      </c>
      <c r="L21" s="28" t="s">
        <v>25</v>
      </c>
      <c r="M21" s="28" t="s">
        <v>25</v>
      </c>
      <c r="N21" s="28" t="s">
        <v>25</v>
      </c>
      <c r="O21" s="28" t="s">
        <v>25</v>
      </c>
      <c r="P21" s="28" t="s">
        <v>25</v>
      </c>
      <c r="Q21" s="28" t="s">
        <v>26</v>
      </c>
      <c r="R21" s="28" t="s">
        <v>25</v>
      </c>
      <c r="S21" s="28" t="s">
        <v>25</v>
      </c>
      <c r="U21" s="110"/>
      <c r="V21" s="13" t="s">
        <v>29</v>
      </c>
      <c r="W21" s="16">
        <f>+COUNTIF(L5:L65,"Blanco")</f>
        <v>0</v>
      </c>
      <c r="X21" s="127"/>
      <c r="Y21" s="26" t="s">
        <v>29</v>
      </c>
      <c r="Z21" s="52">
        <f>COUNTIFS($C$5:$C$65,"Blanco",$L$5:$L$65,"Si")</f>
        <v>0</v>
      </c>
      <c r="AA21" s="127"/>
      <c r="AB21" s="26" t="s">
        <v>29</v>
      </c>
      <c r="AC21" s="58">
        <f>COUNTIFS($C$5:$C$65,"Blanco",$L$5:$L$65,"No")</f>
        <v>3</v>
      </c>
      <c r="AD21" s="127"/>
      <c r="AE21" s="26" t="s">
        <v>6</v>
      </c>
      <c r="AF21" s="26">
        <f>COUNTIFS($F$5:$F$65,"1",$L$5:$L$65,"Si")</f>
        <v>2</v>
      </c>
      <c r="AG21" s="26" t="s">
        <v>9</v>
      </c>
      <c r="AH21" s="26">
        <f>COUNTIFS($I$5:$I$65,"1",$L$5:$L$65,"Si")</f>
        <v>6</v>
      </c>
      <c r="AI21" s="26"/>
      <c r="AJ21" s="52"/>
      <c r="AK21" s="50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x14ac:dyDescent="0.25">
      <c r="A22" s="36">
        <v>18</v>
      </c>
      <c r="B22" s="29">
        <v>42927</v>
      </c>
      <c r="C22" s="28" t="s">
        <v>30</v>
      </c>
      <c r="D22" s="28"/>
      <c r="E22" s="28"/>
      <c r="F22" s="28"/>
      <c r="G22" s="28"/>
      <c r="H22" s="28"/>
      <c r="I22" s="28">
        <v>1</v>
      </c>
      <c r="J22" s="33" t="s">
        <v>77</v>
      </c>
      <c r="K22" s="28" t="s">
        <v>73</v>
      </c>
      <c r="L22" s="28" t="s">
        <v>25</v>
      </c>
      <c r="M22" s="28" t="s">
        <v>20</v>
      </c>
      <c r="N22" s="28" t="s">
        <v>25</v>
      </c>
      <c r="O22" s="28" t="s">
        <v>25</v>
      </c>
      <c r="P22" s="28" t="s">
        <v>25</v>
      </c>
      <c r="Q22" s="28" t="s">
        <v>28</v>
      </c>
      <c r="R22" s="28" t="s">
        <v>25</v>
      </c>
      <c r="S22" s="28" t="s">
        <v>25</v>
      </c>
      <c r="U22" s="137" t="s">
        <v>37</v>
      </c>
      <c r="V22" s="12" t="s">
        <v>20</v>
      </c>
      <c r="W22" s="14">
        <f>+COUNTIF(M5:M65,"Si")</f>
        <v>32</v>
      </c>
      <c r="X22" s="125" t="s">
        <v>118</v>
      </c>
      <c r="Y22" s="48" t="s">
        <v>114</v>
      </c>
      <c r="Z22" s="49">
        <f>COUNTIFS($C$5:$C$65,"M",$M$5:$M$65,"Si")</f>
        <v>16</v>
      </c>
      <c r="AA22" s="125" t="s">
        <v>117</v>
      </c>
      <c r="AB22" s="48" t="s">
        <v>114</v>
      </c>
      <c r="AC22" s="55">
        <f>COUNTIFS($C$5:$C$65,"M",$M$5:$M$65,"No")</f>
        <v>13</v>
      </c>
      <c r="AD22" s="132" t="s">
        <v>118</v>
      </c>
      <c r="AE22" s="61" t="s">
        <v>4</v>
      </c>
      <c r="AF22" s="48">
        <f>COUNTIFS($D$5:$D$65,"1",$M$5:$M$65,"Si")</f>
        <v>9</v>
      </c>
      <c r="AG22" s="61" t="s">
        <v>7</v>
      </c>
      <c r="AH22" s="48">
        <f>COUNTIFS($G$5:$G$65,"1",$M$5:$M$65,"Si")</f>
        <v>1</v>
      </c>
      <c r="AI22" s="61" t="s">
        <v>29</v>
      </c>
      <c r="AJ22" s="49">
        <f>COUNTIFS($I$5:$I$65,"Blanco",$M$5:$M$65,"Si")</f>
        <v>0</v>
      </c>
      <c r="AK22" s="50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x14ac:dyDescent="0.25">
      <c r="A23" s="36">
        <v>19</v>
      </c>
      <c r="B23" s="29">
        <v>42927</v>
      </c>
      <c r="C23" s="28" t="s">
        <v>23</v>
      </c>
      <c r="D23" s="28">
        <v>1</v>
      </c>
      <c r="E23" s="28"/>
      <c r="F23" s="28"/>
      <c r="G23" s="28"/>
      <c r="H23" s="28"/>
      <c r="I23" s="28"/>
      <c r="J23" s="33" t="s">
        <v>77</v>
      </c>
      <c r="K23" s="28" t="s">
        <v>73</v>
      </c>
      <c r="L23" s="28" t="s">
        <v>20</v>
      </c>
      <c r="M23" s="28" t="s">
        <v>20</v>
      </c>
      <c r="N23" s="28" t="s">
        <v>25</v>
      </c>
      <c r="O23" s="28" t="s">
        <v>25</v>
      </c>
      <c r="P23" s="28" t="s">
        <v>20</v>
      </c>
      <c r="Q23" s="28" t="s">
        <v>28</v>
      </c>
      <c r="R23" s="28" t="s">
        <v>20</v>
      </c>
      <c r="S23" s="28" t="s">
        <v>20</v>
      </c>
      <c r="U23" s="109"/>
      <c r="V23" s="9" t="s">
        <v>25</v>
      </c>
      <c r="W23" s="15">
        <f>+COUNTIF(M5:M65,"No")</f>
        <v>29</v>
      </c>
      <c r="X23" s="126"/>
      <c r="Y23" s="6" t="s">
        <v>115</v>
      </c>
      <c r="Z23" s="51">
        <f>COUNTIFS($C$5:$C$65,"F",$M$5:$M$65,"Si")</f>
        <v>15</v>
      </c>
      <c r="AA23" s="126"/>
      <c r="AB23" s="6" t="s">
        <v>115</v>
      </c>
      <c r="AC23" s="57">
        <f>COUNTIFS($C$5:$C$65,"F",$M$5:$M$65,"No")</f>
        <v>14</v>
      </c>
      <c r="AD23" s="126"/>
      <c r="AE23" s="6" t="s">
        <v>5</v>
      </c>
      <c r="AF23" s="6">
        <f>COUNTIFS($E$5:$E$65,"1",$M$5:$M$65,"Si")</f>
        <v>7</v>
      </c>
      <c r="AG23" s="39" t="s">
        <v>8</v>
      </c>
      <c r="AH23" s="6">
        <f>COUNTIFS($H$5:$H$65,"1",$M$5:$M$65,"Si")</f>
        <v>3</v>
      </c>
      <c r="AI23" s="6"/>
      <c r="AJ23" s="51"/>
      <c r="AK23" s="50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5.75" thickBot="1" x14ac:dyDescent="0.3">
      <c r="A24" s="36">
        <v>20</v>
      </c>
      <c r="B24" s="29">
        <v>42934</v>
      </c>
      <c r="C24" s="28" t="s">
        <v>23</v>
      </c>
      <c r="D24" s="28"/>
      <c r="E24" s="28"/>
      <c r="F24" s="28"/>
      <c r="G24" s="28"/>
      <c r="H24" s="28"/>
      <c r="I24" s="28">
        <v>1</v>
      </c>
      <c r="J24" s="33" t="s">
        <v>77</v>
      </c>
      <c r="K24" s="28" t="s">
        <v>73</v>
      </c>
      <c r="L24" s="28" t="s">
        <v>20</v>
      </c>
      <c r="M24" s="28" t="s">
        <v>20</v>
      </c>
      <c r="N24" s="28" t="s">
        <v>20</v>
      </c>
      <c r="O24" s="28" t="s">
        <v>25</v>
      </c>
      <c r="P24" s="28" t="s">
        <v>20</v>
      </c>
      <c r="Q24" s="28" t="s">
        <v>26</v>
      </c>
      <c r="R24" s="28" t="s">
        <v>20</v>
      </c>
      <c r="S24" s="28" t="s">
        <v>20</v>
      </c>
      <c r="U24" s="110"/>
      <c r="V24" s="13" t="s">
        <v>29</v>
      </c>
      <c r="W24" s="16">
        <f>+COUNTIF(M5:M65,"Blanco")</f>
        <v>0</v>
      </c>
      <c r="X24" s="127"/>
      <c r="Y24" s="26" t="s">
        <v>29</v>
      </c>
      <c r="Z24" s="52">
        <f>COUNTIFS($C$5:$C$65,"Blanco",$M$5:$M$65,"Si")</f>
        <v>1</v>
      </c>
      <c r="AA24" s="127"/>
      <c r="AB24" s="26" t="s">
        <v>29</v>
      </c>
      <c r="AC24" s="58">
        <f>COUNTIFS($C$5:$C$65,"Blanco",$M$5:$M$65,"No")</f>
        <v>2</v>
      </c>
      <c r="AD24" s="127"/>
      <c r="AE24" s="26" t="s">
        <v>6</v>
      </c>
      <c r="AF24" s="26">
        <f>COUNTIFS($F$5:$F$65,"1",$M$5:$M$65,"Si")</f>
        <v>2</v>
      </c>
      <c r="AG24" s="26" t="s">
        <v>9</v>
      </c>
      <c r="AH24" s="26">
        <f>COUNTIFS($I$5:$I$65,"1",$M$5:$M$65,"Si")</f>
        <v>10</v>
      </c>
      <c r="AI24" s="26"/>
      <c r="AJ24" s="52"/>
      <c r="AK24" s="50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x14ac:dyDescent="0.25">
      <c r="A25" s="36">
        <v>21</v>
      </c>
      <c r="B25" s="29">
        <v>42934</v>
      </c>
      <c r="C25" s="28" t="s">
        <v>30</v>
      </c>
      <c r="D25" s="28"/>
      <c r="E25" s="28"/>
      <c r="F25" s="28"/>
      <c r="G25" s="28"/>
      <c r="H25" s="28"/>
      <c r="I25" s="28">
        <v>1</v>
      </c>
      <c r="J25" s="33" t="s">
        <v>77</v>
      </c>
      <c r="K25" s="28" t="s">
        <v>73</v>
      </c>
      <c r="L25" s="28" t="s">
        <v>20</v>
      </c>
      <c r="M25" s="28" t="s">
        <v>20</v>
      </c>
      <c r="N25" s="28" t="s">
        <v>25</v>
      </c>
      <c r="O25" s="28" t="s">
        <v>25</v>
      </c>
      <c r="P25" s="28" t="s">
        <v>20</v>
      </c>
      <c r="Q25" s="28" t="s">
        <v>34</v>
      </c>
      <c r="R25" s="28" t="s">
        <v>20</v>
      </c>
      <c r="S25" s="28" t="s">
        <v>25</v>
      </c>
      <c r="U25" s="137" t="s">
        <v>38</v>
      </c>
      <c r="V25" s="12" t="s">
        <v>20</v>
      </c>
      <c r="W25" s="14">
        <f>+COUNTIF(N5:N65,"Si")</f>
        <v>6</v>
      </c>
      <c r="X25" s="125" t="s">
        <v>118</v>
      </c>
      <c r="Y25" s="48" t="s">
        <v>114</v>
      </c>
      <c r="Z25" s="49">
        <f>COUNTIFS($C$5:$C$65,"M",$N$5:$N$65,"Si")</f>
        <v>2</v>
      </c>
      <c r="AA25" s="125" t="s">
        <v>117</v>
      </c>
      <c r="AB25" s="48" t="s">
        <v>114</v>
      </c>
      <c r="AC25" s="55">
        <f>COUNTIFS($C$5:$C$65,"M",$N$5:$N$65,"No")</f>
        <v>27</v>
      </c>
      <c r="AD25" s="125" t="s">
        <v>117</v>
      </c>
      <c r="AE25" s="48" t="s">
        <v>4</v>
      </c>
      <c r="AF25" s="48">
        <f>COUNTIFS($D$5:$D$65,"1",$N$5:$N$65,"No")</f>
        <v>18</v>
      </c>
      <c r="AG25" s="48" t="s">
        <v>7</v>
      </c>
      <c r="AH25" s="48">
        <f>COUNTIFS($G$5:$G$65,"1",$N$5:$N$65,"No")</f>
        <v>4</v>
      </c>
      <c r="AI25" s="48" t="s">
        <v>29</v>
      </c>
      <c r="AJ25" s="49">
        <f>COUNTIFS($I$5:$I$65,"Blanco",$N$5:$N$65,"No")</f>
        <v>0</v>
      </c>
      <c r="AK25" s="50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x14ac:dyDescent="0.25">
      <c r="A26" s="36">
        <v>22</v>
      </c>
      <c r="B26" s="29">
        <v>42934</v>
      </c>
      <c r="C26" s="28" t="s">
        <v>30</v>
      </c>
      <c r="D26" s="28"/>
      <c r="E26" s="28"/>
      <c r="F26" s="28"/>
      <c r="G26" s="28">
        <v>1</v>
      </c>
      <c r="H26" s="28"/>
      <c r="I26" s="28"/>
      <c r="J26" s="33" t="s">
        <v>77</v>
      </c>
      <c r="K26" s="28" t="s">
        <v>73</v>
      </c>
      <c r="L26" s="28" t="s">
        <v>25</v>
      </c>
      <c r="M26" s="28" t="s">
        <v>20</v>
      </c>
      <c r="N26" s="28" t="s">
        <v>25</v>
      </c>
      <c r="O26" s="28" t="s">
        <v>25</v>
      </c>
      <c r="P26" s="28" t="s">
        <v>25</v>
      </c>
      <c r="Q26" s="28" t="s">
        <v>34</v>
      </c>
      <c r="R26" s="28" t="s">
        <v>20</v>
      </c>
      <c r="S26" s="28" t="s">
        <v>25</v>
      </c>
      <c r="U26" s="109"/>
      <c r="V26" s="9" t="s">
        <v>25</v>
      </c>
      <c r="W26" s="15">
        <f>+COUNTIF(N5:N65,"No")</f>
        <v>55</v>
      </c>
      <c r="X26" s="126"/>
      <c r="Y26" s="6" t="s">
        <v>115</v>
      </c>
      <c r="Z26" s="51">
        <f>COUNTIFS($C$5:$C$65,"F",$N$5:$N$65,"Si")</f>
        <v>4</v>
      </c>
      <c r="AA26" s="126"/>
      <c r="AB26" s="6" t="s">
        <v>115</v>
      </c>
      <c r="AC26" s="57">
        <f>COUNTIFS($C$5:$C$65,"F",$N$5:$N$65,"No")</f>
        <v>25</v>
      </c>
      <c r="AD26" s="126"/>
      <c r="AE26" s="6" t="s">
        <v>5</v>
      </c>
      <c r="AF26" s="6">
        <f>COUNTIFS($E$5:$E$65,"1",$N$5:$N$65,"No")</f>
        <v>9</v>
      </c>
      <c r="AG26" s="39" t="s">
        <v>8</v>
      </c>
      <c r="AH26" s="6">
        <f>COUNTIFS($H$5:$H$65,"1",$N$5:$N$65,"No")</f>
        <v>3</v>
      </c>
      <c r="AI26" s="6"/>
      <c r="AJ26" s="51"/>
      <c r="AK26" s="50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5.75" thickBot="1" x14ac:dyDescent="0.3">
      <c r="A27" s="36">
        <v>23</v>
      </c>
      <c r="B27" s="29">
        <v>42934</v>
      </c>
      <c r="C27" s="28" t="s">
        <v>23</v>
      </c>
      <c r="D27" s="28"/>
      <c r="E27" s="28"/>
      <c r="F27" s="28"/>
      <c r="G27" s="28"/>
      <c r="H27" s="28">
        <v>1</v>
      </c>
      <c r="I27" s="28"/>
      <c r="J27" s="33" t="s">
        <v>77</v>
      </c>
      <c r="K27" s="28" t="s">
        <v>73</v>
      </c>
      <c r="L27" s="28" t="s">
        <v>20</v>
      </c>
      <c r="M27" s="28" t="s">
        <v>20</v>
      </c>
      <c r="N27" s="28" t="s">
        <v>25</v>
      </c>
      <c r="O27" s="28" t="s">
        <v>25</v>
      </c>
      <c r="P27" s="28" t="s">
        <v>25</v>
      </c>
      <c r="Q27" s="28" t="s">
        <v>28</v>
      </c>
      <c r="R27" s="28" t="s">
        <v>20</v>
      </c>
      <c r="S27" s="28" t="s">
        <v>20</v>
      </c>
      <c r="U27" s="110"/>
      <c r="V27" s="13" t="s">
        <v>29</v>
      </c>
      <c r="W27" s="16">
        <f>+COUNTIF(N5:N65,"Blanco")</f>
        <v>0</v>
      </c>
      <c r="X27" s="127"/>
      <c r="Y27" s="26" t="s">
        <v>29</v>
      </c>
      <c r="Z27" s="52">
        <f>COUNTIFS($C$5:$C$65,"Blanco",$N$5:$N$65,"Si")</f>
        <v>0</v>
      </c>
      <c r="AA27" s="127"/>
      <c r="AB27" s="26" t="s">
        <v>29</v>
      </c>
      <c r="AC27" s="58">
        <f>COUNTIFS($C$5:$C$65,"Blanco",$N$5:$N$65,"No")</f>
        <v>3</v>
      </c>
      <c r="AD27" s="127"/>
      <c r="AE27" s="26" t="s">
        <v>6</v>
      </c>
      <c r="AF27" s="26">
        <f>COUNTIFS($F$5:$F$65,"1",$N$5:$N$65,"No")</f>
        <v>7</v>
      </c>
      <c r="AG27" s="26" t="s">
        <v>9</v>
      </c>
      <c r="AH27" s="26">
        <f>COUNTIFS($I$5:$I$65,"1",$N$5:$N$65,"No")</f>
        <v>14</v>
      </c>
      <c r="AI27" s="26"/>
      <c r="AJ27" s="52"/>
      <c r="AK27" s="50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x14ac:dyDescent="0.25">
      <c r="A28" s="36">
        <v>24</v>
      </c>
      <c r="B28" s="29">
        <v>42934</v>
      </c>
      <c r="C28" s="28" t="s">
        <v>30</v>
      </c>
      <c r="D28" s="28"/>
      <c r="E28" s="28"/>
      <c r="F28" s="28"/>
      <c r="G28" s="28"/>
      <c r="H28" s="28"/>
      <c r="I28" s="28">
        <v>1</v>
      </c>
      <c r="J28" s="33" t="s">
        <v>77</v>
      </c>
      <c r="K28" s="28" t="s">
        <v>73</v>
      </c>
      <c r="L28" s="28" t="s">
        <v>20</v>
      </c>
      <c r="M28" s="28" t="s">
        <v>20</v>
      </c>
      <c r="N28" s="28" t="s">
        <v>25</v>
      </c>
      <c r="O28" s="28" t="s">
        <v>25</v>
      </c>
      <c r="P28" s="28" t="s">
        <v>25</v>
      </c>
      <c r="Q28" s="28" t="s">
        <v>34</v>
      </c>
      <c r="R28" s="28" t="s">
        <v>20</v>
      </c>
      <c r="S28" s="28" t="s">
        <v>25</v>
      </c>
      <c r="U28" s="137" t="s">
        <v>39</v>
      </c>
      <c r="V28" s="12" t="s">
        <v>20</v>
      </c>
      <c r="W28" s="14">
        <f>+COUNTIF(O5:O65,"Si")</f>
        <v>7</v>
      </c>
      <c r="X28" s="125" t="s">
        <v>118</v>
      </c>
      <c r="Y28" s="48" t="s">
        <v>114</v>
      </c>
      <c r="Z28" s="49">
        <f>COUNTIFS($C$5:$C$65,"M",$O$5:O65,"Si")</f>
        <v>3</v>
      </c>
      <c r="AA28" s="128" t="s">
        <v>117</v>
      </c>
      <c r="AB28" s="19" t="s">
        <v>114</v>
      </c>
      <c r="AC28" s="65">
        <f>COUNTIFS($C$5:$C$65,"M",$O$5:$O$65,"No")</f>
        <v>26</v>
      </c>
      <c r="AD28" s="128" t="s">
        <v>117</v>
      </c>
      <c r="AE28" s="19" t="s">
        <v>4</v>
      </c>
      <c r="AF28" s="19">
        <f>COUNTIFS($D$5:$D$65,"1",$O$5:$O$65,"No")</f>
        <v>16</v>
      </c>
      <c r="AG28" s="19" t="s">
        <v>7</v>
      </c>
      <c r="AH28" s="19">
        <f>COUNTIFS($G$5:$G$65,"1",$O$5:$O$65,"No")</f>
        <v>4</v>
      </c>
      <c r="AI28" s="19" t="s">
        <v>29</v>
      </c>
      <c r="AJ28" s="66">
        <f>COUNTIFS($I$5:$I$65,"Blanco",$O$5:$O$65,"No")</f>
        <v>0</v>
      </c>
      <c r="AK28" s="50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x14ac:dyDescent="0.25">
      <c r="A29" s="36">
        <v>25</v>
      </c>
      <c r="B29" s="29">
        <v>42934</v>
      </c>
      <c r="C29" s="28" t="s">
        <v>23</v>
      </c>
      <c r="D29" s="28">
        <v>1</v>
      </c>
      <c r="E29" s="28"/>
      <c r="F29" s="28"/>
      <c r="G29" s="28"/>
      <c r="H29" s="28"/>
      <c r="I29" s="28"/>
      <c r="J29" s="33" t="s">
        <v>77</v>
      </c>
      <c r="K29" s="28" t="s">
        <v>73</v>
      </c>
      <c r="L29" s="28" t="s">
        <v>25</v>
      </c>
      <c r="M29" s="28" t="s">
        <v>25</v>
      </c>
      <c r="N29" s="28" t="s">
        <v>25</v>
      </c>
      <c r="O29" s="28" t="s">
        <v>25</v>
      </c>
      <c r="P29" s="28" t="s">
        <v>25</v>
      </c>
      <c r="Q29" s="28" t="s">
        <v>28</v>
      </c>
      <c r="R29" s="28" t="s">
        <v>25</v>
      </c>
      <c r="S29" s="28" t="s">
        <v>25</v>
      </c>
      <c r="U29" s="109"/>
      <c r="V29" s="9" t="s">
        <v>25</v>
      </c>
      <c r="W29" s="15">
        <f>+COUNTIF(O5:O65,"No")</f>
        <v>54</v>
      </c>
      <c r="X29" s="126"/>
      <c r="Y29" s="6" t="s">
        <v>115</v>
      </c>
      <c r="Z29" s="51">
        <f>COUNTIFS($C$5:$C$65,"F",$O$5:$O$65,"Si")</f>
        <v>4</v>
      </c>
      <c r="AA29" s="129"/>
      <c r="AB29" s="35" t="s">
        <v>115</v>
      </c>
      <c r="AC29" s="67">
        <f>COUNTIFS($C$2:$C$65,"F",$O$2:$O$65,"No")</f>
        <v>25</v>
      </c>
      <c r="AD29" s="129"/>
      <c r="AE29" s="35" t="s">
        <v>5</v>
      </c>
      <c r="AF29" s="35">
        <f>COUNTIFS($E$5:$E$65,"1",$O$5:$O$65,"No")</f>
        <v>9</v>
      </c>
      <c r="AG29" s="9" t="s">
        <v>8</v>
      </c>
      <c r="AH29" s="35">
        <f>COUNTIFS($H$5:$H$65,"1",$O$5:$O$65,"No")</f>
        <v>4</v>
      </c>
      <c r="AI29" s="35"/>
      <c r="AJ29" s="68"/>
      <c r="AK29" s="50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5.75" thickBot="1" x14ac:dyDescent="0.3">
      <c r="A30" s="36">
        <v>26</v>
      </c>
      <c r="B30" s="29">
        <v>42934</v>
      </c>
      <c r="C30" s="28" t="s">
        <v>30</v>
      </c>
      <c r="D30" s="28"/>
      <c r="E30" s="28"/>
      <c r="F30" s="28"/>
      <c r="G30" s="28"/>
      <c r="H30" s="28">
        <v>1</v>
      </c>
      <c r="I30" s="28"/>
      <c r="J30" s="33" t="s">
        <v>77</v>
      </c>
      <c r="K30" s="28" t="s">
        <v>73</v>
      </c>
      <c r="L30" s="28" t="s">
        <v>25</v>
      </c>
      <c r="M30" s="28" t="s">
        <v>25</v>
      </c>
      <c r="N30" s="28" t="s">
        <v>25</v>
      </c>
      <c r="O30" s="28" t="s">
        <v>25</v>
      </c>
      <c r="P30" s="28" t="s">
        <v>25</v>
      </c>
      <c r="Q30" s="28" t="s">
        <v>34</v>
      </c>
      <c r="R30" s="28" t="s">
        <v>25</v>
      </c>
      <c r="S30" s="28" t="s">
        <v>25</v>
      </c>
      <c r="U30" s="110"/>
      <c r="V30" s="13" t="s">
        <v>29</v>
      </c>
      <c r="W30" s="16">
        <f>+COUNTIF(O5:O65,"Blanco")</f>
        <v>0</v>
      </c>
      <c r="X30" s="127"/>
      <c r="Y30" s="26" t="s">
        <v>29</v>
      </c>
      <c r="Z30" s="52">
        <f>COUNTIFS($C$5:$C$65,"Blanco",$O$5:$O$65,"Si")</f>
        <v>0</v>
      </c>
      <c r="AA30" s="130"/>
      <c r="AB30" s="27" t="s">
        <v>29</v>
      </c>
      <c r="AC30" s="69">
        <f>COUNTIFS($C$2:$C$65,"Blanco",$O$2:$O$65,"No")</f>
        <v>3</v>
      </c>
      <c r="AD30" s="130"/>
      <c r="AE30" s="27" t="s">
        <v>6</v>
      </c>
      <c r="AF30" s="27">
        <f>COUNTIFS($F$5:$F$65,"1",$O$5:$O$65,"No")</f>
        <v>7</v>
      </c>
      <c r="AG30" s="27" t="s">
        <v>9</v>
      </c>
      <c r="AH30" s="27">
        <f>COUNTIFS($I$5:$I$65,"1",$O$5:$O$65,"No")</f>
        <v>14</v>
      </c>
      <c r="AI30" s="27"/>
      <c r="AJ30" s="70"/>
      <c r="AK30" s="50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x14ac:dyDescent="0.25">
      <c r="A31" s="36">
        <v>27</v>
      </c>
      <c r="B31" s="29">
        <v>42934</v>
      </c>
      <c r="C31" s="28" t="s">
        <v>23</v>
      </c>
      <c r="D31" s="28">
        <v>1</v>
      </c>
      <c r="E31" s="28"/>
      <c r="F31" s="28"/>
      <c r="G31" s="28"/>
      <c r="H31" s="28"/>
      <c r="I31" s="28"/>
      <c r="J31" s="33" t="s">
        <v>77</v>
      </c>
      <c r="K31" s="28" t="s">
        <v>73</v>
      </c>
      <c r="L31" s="28" t="s">
        <v>25</v>
      </c>
      <c r="M31" s="28" t="s">
        <v>25</v>
      </c>
      <c r="N31" s="28" t="s">
        <v>25</v>
      </c>
      <c r="O31" s="28" t="s">
        <v>25</v>
      </c>
      <c r="P31" s="28" t="s">
        <v>25</v>
      </c>
      <c r="Q31" s="28" t="s">
        <v>34</v>
      </c>
      <c r="R31" s="28" t="s">
        <v>25</v>
      </c>
      <c r="S31" s="28" t="s">
        <v>25</v>
      </c>
      <c r="U31" s="137" t="s">
        <v>40</v>
      </c>
      <c r="V31" s="12" t="s">
        <v>20</v>
      </c>
      <c r="W31" s="14">
        <f>+COUNTIF(P5:P65,"Si")</f>
        <v>10</v>
      </c>
      <c r="X31" s="125" t="s">
        <v>118</v>
      </c>
      <c r="Y31" s="48" t="s">
        <v>114</v>
      </c>
      <c r="Z31" s="49">
        <f>COUNTIFS($C$5:$C$65,"M",$P$5:$P$65,"Si")</f>
        <v>6</v>
      </c>
      <c r="AA31" s="128" t="s">
        <v>117</v>
      </c>
      <c r="AB31" s="19" t="s">
        <v>114</v>
      </c>
      <c r="AC31" s="65">
        <f>COUNTIFS($C$5:$C$65,"M",$P$5:$P$65,"No")</f>
        <v>23</v>
      </c>
      <c r="AD31" s="128" t="s">
        <v>117</v>
      </c>
      <c r="AE31" s="19" t="s">
        <v>4</v>
      </c>
      <c r="AF31" s="19">
        <f>COUNTIFS($D$5:$D$65,"1",$P$5:$P$65,"No")</f>
        <v>17</v>
      </c>
      <c r="AG31" s="19" t="s">
        <v>7</v>
      </c>
      <c r="AH31" s="19">
        <f>COUNTIFS($G$5:$G$65,"1",$P$5:$P$65,"No")</f>
        <v>4</v>
      </c>
      <c r="AI31" s="19" t="s">
        <v>29</v>
      </c>
      <c r="AJ31" s="66">
        <f>COUNTIFS($I$5:$I$65,"Blanco",$P$5:$P$65,"No")</f>
        <v>0</v>
      </c>
      <c r="AK31" s="50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x14ac:dyDescent="0.25">
      <c r="A32" s="36">
        <v>28</v>
      </c>
      <c r="B32" s="29">
        <v>42933</v>
      </c>
      <c r="C32" s="28" t="s">
        <v>30</v>
      </c>
      <c r="D32" s="28"/>
      <c r="E32" s="28"/>
      <c r="F32" s="28"/>
      <c r="G32" s="28"/>
      <c r="H32" s="28">
        <v>1</v>
      </c>
      <c r="I32" s="28"/>
      <c r="J32" s="33" t="s">
        <v>77</v>
      </c>
      <c r="K32" s="28" t="s">
        <v>78</v>
      </c>
      <c r="L32" s="28" t="s">
        <v>20</v>
      </c>
      <c r="M32" s="28" t="s">
        <v>25</v>
      </c>
      <c r="N32" s="28" t="s">
        <v>20</v>
      </c>
      <c r="O32" s="28" t="s">
        <v>25</v>
      </c>
      <c r="P32" s="28" t="s">
        <v>20</v>
      </c>
      <c r="Q32" s="28" t="s">
        <v>34</v>
      </c>
      <c r="R32" s="28" t="s">
        <v>20</v>
      </c>
      <c r="S32" s="28" t="s">
        <v>25</v>
      </c>
      <c r="U32" s="109"/>
      <c r="V32" s="9" t="s">
        <v>25</v>
      </c>
      <c r="W32" s="15">
        <f>+COUNTIF(P5:P65,"No")</f>
        <v>51</v>
      </c>
      <c r="X32" s="126"/>
      <c r="Y32" s="6" t="s">
        <v>115</v>
      </c>
      <c r="Z32" s="51">
        <f>COUNTIFS($C$5:$C$65,"F",$P$5:$P$65,"Si")</f>
        <v>4</v>
      </c>
      <c r="AA32" s="129"/>
      <c r="AB32" s="35" t="s">
        <v>115</v>
      </c>
      <c r="AC32" s="67">
        <f>COUNTIFS($C$5:$C$65,"F",$P$5:$P$65,"NO")</f>
        <v>25</v>
      </c>
      <c r="AD32" s="129"/>
      <c r="AE32" s="35" t="s">
        <v>5</v>
      </c>
      <c r="AF32" s="35">
        <f>COUNTIFS($E$5:$E$65,"1",$P$5:$P$65,"No")</f>
        <v>10</v>
      </c>
      <c r="AG32" s="9" t="s">
        <v>8</v>
      </c>
      <c r="AH32" s="35">
        <f>COUNTIFS($H$5:$H$65,"1",$P$5:$P$65,"No")</f>
        <v>3</v>
      </c>
      <c r="AI32" s="35"/>
      <c r="AJ32" s="68"/>
      <c r="AK32" s="50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5.75" thickBot="1" x14ac:dyDescent="0.3">
      <c r="A33" s="36">
        <v>29</v>
      </c>
      <c r="B33" s="29">
        <v>42933</v>
      </c>
      <c r="C33" s="28" t="s">
        <v>23</v>
      </c>
      <c r="D33" s="28"/>
      <c r="E33" s="28"/>
      <c r="F33" s="28">
        <v>1</v>
      </c>
      <c r="G33" s="28"/>
      <c r="H33" s="28"/>
      <c r="I33" s="28"/>
      <c r="J33" s="33" t="s">
        <v>77</v>
      </c>
      <c r="K33" s="28" t="s">
        <v>78</v>
      </c>
      <c r="L33" s="28" t="s">
        <v>25</v>
      </c>
      <c r="M33" s="28" t="s">
        <v>25</v>
      </c>
      <c r="N33" s="28" t="s">
        <v>25</v>
      </c>
      <c r="O33" s="28" t="s">
        <v>25</v>
      </c>
      <c r="P33" s="28" t="s">
        <v>25</v>
      </c>
      <c r="Q33" s="28" t="s">
        <v>28</v>
      </c>
      <c r="R33" s="28" t="s">
        <v>25</v>
      </c>
      <c r="S33" s="28" t="s">
        <v>25</v>
      </c>
      <c r="U33" s="110"/>
      <c r="V33" s="13" t="s">
        <v>29</v>
      </c>
      <c r="W33" s="16">
        <f>+COUNTIF(P5:P65,"Blanco")</f>
        <v>0</v>
      </c>
      <c r="X33" s="154"/>
      <c r="Y33" s="34" t="s">
        <v>29</v>
      </c>
      <c r="Z33" s="53">
        <f>COUNTIFS($C$5:$C$65,"Blanco",$P$5:$P$65,"Si")</f>
        <v>0</v>
      </c>
      <c r="AA33" s="153"/>
      <c r="AB33" s="71" t="s">
        <v>29</v>
      </c>
      <c r="AC33" s="72">
        <f>COUNTIFS($C$5:$C$65,"Blanco",$P$5:$P$65,"No")</f>
        <v>3</v>
      </c>
      <c r="AD33" s="130"/>
      <c r="AE33" s="27" t="s">
        <v>6</v>
      </c>
      <c r="AF33" s="27">
        <f>COUNTIFS($F$5:$F$65,"1",$P$5:$P$65,"No")</f>
        <v>6</v>
      </c>
      <c r="AG33" s="71" t="s">
        <v>9</v>
      </c>
      <c r="AH33" s="71">
        <f>COUNTIFS($I$5:$I$65,"1",$P$5:$P$65,"No")</f>
        <v>11</v>
      </c>
      <c r="AI33" s="71"/>
      <c r="AJ33" s="73"/>
      <c r="AK33" s="5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</row>
    <row r="34" spans="1:50" x14ac:dyDescent="0.25">
      <c r="A34" s="36">
        <v>30</v>
      </c>
      <c r="B34" s="29">
        <v>42934</v>
      </c>
      <c r="C34" s="28" t="s">
        <v>30</v>
      </c>
      <c r="D34" s="28"/>
      <c r="E34" s="28"/>
      <c r="F34" s="28">
        <v>1</v>
      </c>
      <c r="G34" s="28"/>
      <c r="H34" s="28"/>
      <c r="I34" s="28"/>
      <c r="J34" s="33" t="s">
        <v>77</v>
      </c>
      <c r="K34" s="28" t="s">
        <v>78</v>
      </c>
      <c r="L34" s="28" t="s">
        <v>25</v>
      </c>
      <c r="M34" s="28" t="s">
        <v>25</v>
      </c>
      <c r="N34" s="28" t="s">
        <v>25</v>
      </c>
      <c r="O34" s="28" t="s">
        <v>25</v>
      </c>
      <c r="P34" s="28" t="s">
        <v>20</v>
      </c>
      <c r="Q34" s="28" t="s">
        <v>28</v>
      </c>
      <c r="R34" s="28" t="s">
        <v>25</v>
      </c>
      <c r="S34" s="28" t="s">
        <v>25</v>
      </c>
      <c r="U34" s="137" t="s">
        <v>41</v>
      </c>
      <c r="V34" s="12" t="s">
        <v>27</v>
      </c>
      <c r="W34" s="14">
        <f>+COUNTIF(Q5:Q65,"Elevada")</f>
        <v>6</v>
      </c>
      <c r="X34" s="125" t="s">
        <v>116</v>
      </c>
      <c r="Y34" s="48" t="s">
        <v>114</v>
      </c>
      <c r="Z34" s="49">
        <f>COUNTIFS($C$5:$C$65,"M",$Q$5:$Q$65,"Elevada")</f>
        <v>4</v>
      </c>
      <c r="AA34" s="125" t="s">
        <v>119</v>
      </c>
      <c r="AB34" s="48" t="s">
        <v>114</v>
      </c>
      <c r="AC34" s="49">
        <f>COUNTIFS($C$5:$C$65,"M",$Q$5:$Q$65,"Alguna")</f>
        <v>4</v>
      </c>
      <c r="AD34" s="125" t="s">
        <v>120</v>
      </c>
      <c r="AE34" s="48" t="s">
        <v>114</v>
      </c>
      <c r="AF34" s="49">
        <f>COUNTIFS($C$5:$C$65,"M",$Q$5:$Q$65,"Poca")</f>
        <v>10</v>
      </c>
      <c r="AG34" s="125" t="s">
        <v>121</v>
      </c>
      <c r="AH34" s="48" t="s">
        <v>114</v>
      </c>
      <c r="AI34" s="55">
        <f>COUNTIFS($C$5:$C$65,"M",$Q$5:$Q$65,"Ninguna")</f>
        <v>11</v>
      </c>
      <c r="AJ34" s="55"/>
      <c r="AK34" s="125" t="s">
        <v>122</v>
      </c>
      <c r="AL34" s="56" t="s">
        <v>4</v>
      </c>
      <c r="AM34" s="48">
        <f>COUNTIFS($D$5:$D$65,"1",$Q$5:$Q$65,"Elevada")</f>
        <v>1</v>
      </c>
      <c r="AN34" s="48" t="s">
        <v>7</v>
      </c>
      <c r="AO34" s="48">
        <f>COUNTIFS($G$5:$G$65,"1",$Q$5:$Q$65,"Elevada")</f>
        <v>1</v>
      </c>
      <c r="AP34" s="48" t="s">
        <v>29</v>
      </c>
      <c r="AQ34" s="49">
        <f>COUNTIFS($I$5:$I$65,"Blanco",$Q$5:$Q$65,"Elevada")</f>
        <v>0</v>
      </c>
      <c r="AR34" s="125" t="s">
        <v>119</v>
      </c>
      <c r="AS34" s="48" t="s">
        <v>4</v>
      </c>
      <c r="AT34" s="48">
        <f>COUNTIFS($D$5:$D$65,"1",$Q$5:$Q$65,"Alguna")</f>
        <v>8</v>
      </c>
      <c r="AU34" s="48" t="s">
        <v>7</v>
      </c>
      <c r="AV34" s="48">
        <f>COUNTIFS($G$5:$G$65,"1",$Q$5:$Q$65,"Alguna")</f>
        <v>0</v>
      </c>
      <c r="AW34" s="48" t="s">
        <v>29</v>
      </c>
      <c r="AX34" s="49">
        <f>COUNTIFS($I$5:$I$65,"Blanco",$Q$5:$Q$65,"Alguna")</f>
        <v>0</v>
      </c>
    </row>
    <row r="35" spans="1:50" x14ac:dyDescent="0.25">
      <c r="A35" s="36">
        <v>31</v>
      </c>
      <c r="B35" s="29">
        <v>42934</v>
      </c>
      <c r="C35" s="28" t="s">
        <v>30</v>
      </c>
      <c r="D35" s="28"/>
      <c r="E35" s="28"/>
      <c r="F35" s="28"/>
      <c r="G35" s="28"/>
      <c r="H35" s="28"/>
      <c r="I35" s="28">
        <v>1</v>
      </c>
      <c r="J35" s="33" t="s">
        <v>77</v>
      </c>
      <c r="K35" s="28" t="s">
        <v>78</v>
      </c>
      <c r="L35" s="28" t="s">
        <v>20</v>
      </c>
      <c r="M35" s="28" t="s">
        <v>20</v>
      </c>
      <c r="N35" s="28" t="s">
        <v>25</v>
      </c>
      <c r="O35" s="28" t="s">
        <v>20</v>
      </c>
      <c r="P35" s="28" t="s">
        <v>20</v>
      </c>
      <c r="Q35" s="28" t="s">
        <v>27</v>
      </c>
      <c r="R35" s="28" t="s">
        <v>20</v>
      </c>
      <c r="S35" s="28" t="s">
        <v>20</v>
      </c>
      <c r="U35" s="109"/>
      <c r="V35" s="9" t="s">
        <v>28</v>
      </c>
      <c r="W35" s="15">
        <f>+COUNTIF(Q5:Q65,"Alguna")</f>
        <v>17</v>
      </c>
      <c r="X35" s="126"/>
      <c r="Y35" s="6" t="s">
        <v>115</v>
      </c>
      <c r="Z35" s="51">
        <f>COUNTIFS($C$5:$C$65,"F",$Q$5:$Q$65,"Elevada")</f>
        <v>2</v>
      </c>
      <c r="AA35" s="126"/>
      <c r="AB35" s="6" t="s">
        <v>115</v>
      </c>
      <c r="AC35" s="51">
        <f>COUNTIFS($C$5:$C$65,"F",$Q$5:$Q$65,"Alguna")</f>
        <v>13</v>
      </c>
      <c r="AD35" s="126"/>
      <c r="AE35" s="6" t="s">
        <v>115</v>
      </c>
      <c r="AF35" s="51">
        <f>COUNTIFS($C$5:$C$65,"F",$Q$5:$Q$65,"Poca")</f>
        <v>9</v>
      </c>
      <c r="AG35" s="126"/>
      <c r="AH35" s="6" t="s">
        <v>115</v>
      </c>
      <c r="AI35" s="57">
        <f>COUNTIFS($C$5:$C$65,"F",$Q$5:$Q$65,"Ninguna")</f>
        <v>5</v>
      </c>
      <c r="AJ35" s="57"/>
      <c r="AK35" s="126"/>
      <c r="AL35" s="50" t="s">
        <v>5</v>
      </c>
      <c r="AM35" s="6">
        <f>COUNTIFS($E$5:$E$65,"1",$Q$5:$Q$65,"Elevada")</f>
        <v>0</v>
      </c>
      <c r="AN35" s="39" t="s">
        <v>8</v>
      </c>
      <c r="AO35" s="6">
        <f>COUNTIFS($H$5:$H$65,"1",$Q$5:$Q$65,"Elevada")</f>
        <v>0</v>
      </c>
      <c r="AP35" s="6"/>
      <c r="AQ35" s="51"/>
      <c r="AR35" s="126"/>
      <c r="AS35" s="6" t="s">
        <v>5</v>
      </c>
      <c r="AT35" s="6">
        <f>COUNTIFS($E$5:$E$65,"1",$Q$5:$Q$65,"Alguna")</f>
        <v>3</v>
      </c>
      <c r="AU35" s="39" t="s">
        <v>8</v>
      </c>
      <c r="AV35" s="6">
        <f>COUNTIFS($H$5:$H$65,"1",$Q$5:$Q$65,"Alguna")</f>
        <v>2</v>
      </c>
      <c r="AW35" s="6"/>
      <c r="AX35" s="51"/>
    </row>
    <row r="36" spans="1:50" ht="15.75" thickBot="1" x14ac:dyDescent="0.3">
      <c r="A36" s="36">
        <v>32</v>
      </c>
      <c r="B36" s="29">
        <v>42934</v>
      </c>
      <c r="C36" s="28" t="s">
        <v>23</v>
      </c>
      <c r="D36" s="28"/>
      <c r="E36" s="28"/>
      <c r="F36" s="28">
        <v>1</v>
      </c>
      <c r="G36" s="28"/>
      <c r="H36" s="28"/>
      <c r="I36" s="28"/>
      <c r="J36" s="33" t="s">
        <v>77</v>
      </c>
      <c r="K36" s="28" t="s">
        <v>78</v>
      </c>
      <c r="L36" s="28" t="s">
        <v>20</v>
      </c>
      <c r="M36" s="28" t="s">
        <v>20</v>
      </c>
      <c r="N36" s="28" t="s">
        <v>25</v>
      </c>
      <c r="O36" s="28" t="s">
        <v>25</v>
      </c>
      <c r="P36" s="28" t="s">
        <v>25</v>
      </c>
      <c r="Q36" s="28" t="s">
        <v>27</v>
      </c>
      <c r="R36" s="28" t="s">
        <v>25</v>
      </c>
      <c r="S36" s="28" t="s">
        <v>25</v>
      </c>
      <c r="U36" s="109"/>
      <c r="V36" s="9" t="s">
        <v>26</v>
      </c>
      <c r="W36" s="15">
        <f>+COUNTIF(Q5:Q65,"Poca")</f>
        <v>22</v>
      </c>
      <c r="X36" s="127"/>
      <c r="Y36" s="26" t="s">
        <v>29</v>
      </c>
      <c r="Z36" s="52">
        <f>COUNTIFS($C$5:$C$65,"Blanco",Q8:Q68,"Elevada")</f>
        <v>0</v>
      </c>
      <c r="AA36" s="127"/>
      <c r="AB36" s="26" t="s">
        <v>29</v>
      </c>
      <c r="AC36" s="52">
        <f>COUNTIFS($C$5:$C$65,"Blanco",$Q$5:$Q$65,"Alguna")</f>
        <v>0</v>
      </c>
      <c r="AD36" s="127"/>
      <c r="AE36" s="26" t="s">
        <v>29</v>
      </c>
      <c r="AF36" s="52">
        <f>COUNTIFS($C$5:$C$65,"Blanco",$Q$5:$Q$65,"Poca")</f>
        <v>3</v>
      </c>
      <c r="AG36" s="127"/>
      <c r="AH36" s="26" t="s">
        <v>29</v>
      </c>
      <c r="AI36" s="58">
        <f>COUNTIFS($C$5:$C$65,"Blanco",$Q$5:$Q$65,"Ninguna")</f>
        <v>0</v>
      </c>
      <c r="AJ36" s="58"/>
      <c r="AK36" s="127"/>
      <c r="AL36" s="59" t="s">
        <v>6</v>
      </c>
      <c r="AM36" s="26">
        <f>COUNTIFS($F$5:$F$65,"1",$Q$5:$Q$65,"Elevada")</f>
        <v>1</v>
      </c>
      <c r="AN36" s="26" t="s">
        <v>9</v>
      </c>
      <c r="AO36" s="26">
        <f>COUNTIFS($I$5:$I$65,"1",$Q$5:$Q$65,"Elevada")</f>
        <v>3</v>
      </c>
      <c r="AP36" s="26"/>
      <c r="AQ36" s="52"/>
      <c r="AR36" s="127"/>
      <c r="AS36" s="26" t="s">
        <v>6</v>
      </c>
      <c r="AT36" s="26">
        <f>COUNTIFS($F$5:$F$65,"1",$Q$5:$Q$65,"Alguna")</f>
        <v>3</v>
      </c>
      <c r="AU36" s="26" t="s">
        <v>9</v>
      </c>
      <c r="AV36" s="26">
        <f>COUNTIFS($I$5:$I$65,"1",$Q$5:$Q$65,"Alguna")</f>
        <v>1</v>
      </c>
      <c r="AW36" s="26"/>
      <c r="AX36" s="52"/>
    </row>
    <row r="37" spans="1:50" ht="15.75" thickBot="1" x14ac:dyDescent="0.3">
      <c r="A37" s="36">
        <v>33</v>
      </c>
      <c r="B37" s="29">
        <v>42934</v>
      </c>
      <c r="C37" s="28" t="s">
        <v>30</v>
      </c>
      <c r="D37" s="28"/>
      <c r="E37" s="28">
        <v>1</v>
      </c>
      <c r="F37" s="28"/>
      <c r="G37" s="28"/>
      <c r="H37" s="28"/>
      <c r="I37" s="28"/>
      <c r="J37" s="33" t="s">
        <v>77</v>
      </c>
      <c r="K37" s="28" t="s">
        <v>78</v>
      </c>
      <c r="L37" s="28" t="s">
        <v>25</v>
      </c>
      <c r="M37" s="28" t="s">
        <v>20</v>
      </c>
      <c r="N37" s="28" t="s">
        <v>25</v>
      </c>
      <c r="O37" s="28" t="s">
        <v>25</v>
      </c>
      <c r="P37" s="28" t="s">
        <v>25</v>
      </c>
      <c r="Q37" s="28" t="s">
        <v>26</v>
      </c>
      <c r="R37" s="28" t="s">
        <v>25</v>
      </c>
      <c r="S37" s="28" t="s">
        <v>25</v>
      </c>
      <c r="U37" s="110"/>
      <c r="V37" s="13" t="s">
        <v>34</v>
      </c>
      <c r="W37" s="16">
        <f>+COUNTIF(Q5:Q65,"Ninguna")</f>
        <v>16</v>
      </c>
      <c r="X37" s="47"/>
      <c r="Y37" s="60"/>
      <c r="Z37" s="62"/>
      <c r="AA37" s="63"/>
      <c r="AB37" s="60"/>
      <c r="AC37" s="64"/>
      <c r="AD37" s="60"/>
      <c r="AE37" s="60"/>
      <c r="AG37" s="60"/>
      <c r="AH37" s="60"/>
      <c r="AI37" s="60"/>
      <c r="AJ37" s="60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</row>
    <row r="38" spans="1:50" x14ac:dyDescent="0.25">
      <c r="A38" s="36">
        <v>34</v>
      </c>
      <c r="B38" s="29">
        <v>42934</v>
      </c>
      <c r="C38" s="28" t="s">
        <v>30</v>
      </c>
      <c r="D38" s="28"/>
      <c r="E38" s="28">
        <v>1</v>
      </c>
      <c r="F38" s="28"/>
      <c r="G38" s="28"/>
      <c r="H38" s="28"/>
      <c r="I38" s="28"/>
      <c r="J38" s="33" t="s">
        <v>77</v>
      </c>
      <c r="K38" s="28" t="s">
        <v>78</v>
      </c>
      <c r="L38" s="28" t="s">
        <v>25</v>
      </c>
      <c r="M38" s="28" t="s">
        <v>25</v>
      </c>
      <c r="N38" s="28" t="s">
        <v>25</v>
      </c>
      <c r="O38" s="28" t="s">
        <v>25</v>
      </c>
      <c r="P38" s="28" t="s">
        <v>25</v>
      </c>
      <c r="Q38" s="28" t="s">
        <v>26</v>
      </c>
      <c r="R38" s="28" t="s">
        <v>20</v>
      </c>
      <c r="S38" s="28" t="s">
        <v>25</v>
      </c>
      <c r="U38" s="137" t="s">
        <v>42</v>
      </c>
      <c r="V38" s="12" t="s">
        <v>20</v>
      </c>
      <c r="W38" s="14">
        <f>+COUNTIF(R5:R65,"Si")</f>
        <v>29</v>
      </c>
      <c r="X38" s="125" t="s">
        <v>118</v>
      </c>
      <c r="Y38" s="48" t="s">
        <v>114</v>
      </c>
      <c r="Z38" s="49">
        <f>COUNTIFS($C$5:$C$65,"M",$R$5:$R$65,"Si")</f>
        <v>17</v>
      </c>
      <c r="AA38" s="125" t="s">
        <v>117</v>
      </c>
      <c r="AB38" s="48" t="s">
        <v>114</v>
      </c>
      <c r="AC38" s="55">
        <f>COUNTIFS($C$5:$C$65,"M",$R$5:$R$65,"No")</f>
        <v>12</v>
      </c>
      <c r="AD38" s="125" t="s">
        <v>118</v>
      </c>
      <c r="AE38" s="48" t="s">
        <v>4</v>
      </c>
      <c r="AF38" s="48">
        <f>COUNTIFS($D$5:$D$65,"1",$R$5:$R$65,"Si")</f>
        <v>8</v>
      </c>
      <c r="AG38" s="48" t="s">
        <v>7</v>
      </c>
      <c r="AH38" s="48">
        <f>COUNTIFS($G$5:$G$65,"1",$R$5:$R$65,"Si")</f>
        <v>1</v>
      </c>
      <c r="AI38" s="48" t="s">
        <v>29</v>
      </c>
      <c r="AJ38" s="49">
        <f>COUNTIFS($I$5:$I$65,"Blanco",$R$5:$R$65,"Si")</f>
        <v>0</v>
      </c>
      <c r="AK38" s="50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x14ac:dyDescent="0.25">
      <c r="A39" s="36">
        <v>35</v>
      </c>
      <c r="B39" s="29">
        <v>42934</v>
      </c>
      <c r="C39" s="28" t="s">
        <v>30</v>
      </c>
      <c r="D39" s="28">
        <v>1</v>
      </c>
      <c r="E39" s="28"/>
      <c r="F39" s="28"/>
      <c r="G39" s="28"/>
      <c r="H39" s="28"/>
      <c r="I39" s="28"/>
      <c r="J39" s="33" t="s">
        <v>77</v>
      </c>
      <c r="K39" s="28" t="s">
        <v>78</v>
      </c>
      <c r="L39" s="28" t="s">
        <v>25</v>
      </c>
      <c r="M39" s="28" t="s">
        <v>25</v>
      </c>
      <c r="N39" s="28" t="s">
        <v>25</v>
      </c>
      <c r="O39" s="28" t="s">
        <v>25</v>
      </c>
      <c r="P39" s="28" t="s">
        <v>25</v>
      </c>
      <c r="Q39" s="28" t="s">
        <v>34</v>
      </c>
      <c r="R39" s="28" t="s">
        <v>20</v>
      </c>
      <c r="S39" s="28" t="s">
        <v>25</v>
      </c>
      <c r="U39" s="109"/>
      <c r="V39" s="9" t="s">
        <v>25</v>
      </c>
      <c r="W39" s="15">
        <f>+COUNTIF(R5:R65,"No")</f>
        <v>32</v>
      </c>
      <c r="X39" s="126"/>
      <c r="Y39" s="6" t="s">
        <v>115</v>
      </c>
      <c r="Z39" s="51">
        <f>COUNTIFS($C$5:$C$65,"F",$R$5:$R$65,"Si")</f>
        <v>11</v>
      </c>
      <c r="AA39" s="126"/>
      <c r="AB39" s="6" t="s">
        <v>115</v>
      </c>
      <c r="AC39" s="57">
        <f>COUNTIFS($C$5:$C$65,"F",$R$5:$R$65,"No")</f>
        <v>18</v>
      </c>
      <c r="AD39" s="126"/>
      <c r="AE39" s="6" t="s">
        <v>5</v>
      </c>
      <c r="AF39" s="6">
        <f>COUNTIFS($E$5:$E$65,"1",$R$5:$R$65,"Si")</f>
        <v>5</v>
      </c>
      <c r="AG39" s="39" t="s">
        <v>8</v>
      </c>
      <c r="AH39" s="6">
        <f>COUNTIFS($H$5:$H$65,"1",$R$5:$R$65,"Si")</f>
        <v>4</v>
      </c>
      <c r="AI39" s="6"/>
      <c r="AJ39" s="51"/>
      <c r="AK39" s="50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5.75" thickBot="1" x14ac:dyDescent="0.3">
      <c r="A40" s="36">
        <v>36</v>
      </c>
      <c r="B40" s="29">
        <v>42934</v>
      </c>
      <c r="C40" s="31" t="s">
        <v>30</v>
      </c>
      <c r="D40" s="28">
        <v>1</v>
      </c>
      <c r="E40" s="28"/>
      <c r="F40" s="28"/>
      <c r="G40" s="28"/>
      <c r="H40" s="28"/>
      <c r="I40" s="28"/>
      <c r="J40" s="33" t="s">
        <v>77</v>
      </c>
      <c r="K40" s="28" t="s">
        <v>78</v>
      </c>
      <c r="L40" s="31" t="s">
        <v>25</v>
      </c>
      <c r="M40" s="31" t="s">
        <v>20</v>
      </c>
      <c r="N40" s="31" t="s">
        <v>25</v>
      </c>
      <c r="O40" s="31" t="s">
        <v>25</v>
      </c>
      <c r="P40" s="31" t="s">
        <v>25</v>
      </c>
      <c r="Q40" s="31" t="s">
        <v>26</v>
      </c>
      <c r="R40" s="31" t="s">
        <v>20</v>
      </c>
      <c r="S40" s="31" t="s">
        <v>20</v>
      </c>
      <c r="U40" s="110"/>
      <c r="V40" s="13" t="s">
        <v>29</v>
      </c>
      <c r="W40" s="16">
        <f>+COUNTIF(R5:R65,"Blanco")</f>
        <v>0</v>
      </c>
      <c r="X40" s="127"/>
      <c r="Y40" s="26" t="s">
        <v>29</v>
      </c>
      <c r="Z40" s="52">
        <f>COUNTIFS($C$5:$C$65,"Blanco",$R$5:$R$65,"Si")</f>
        <v>1</v>
      </c>
      <c r="AA40" s="127"/>
      <c r="AB40" s="26" t="s">
        <v>29</v>
      </c>
      <c r="AC40" s="58">
        <f>COUNTIFS($C$5:$C$65,"Blanco",$R$5:$R$65,"No")</f>
        <v>2</v>
      </c>
      <c r="AD40" s="127"/>
      <c r="AE40" s="26" t="s">
        <v>6</v>
      </c>
      <c r="AF40" s="26">
        <f>COUNTIFS($F$5:$F$65,"1",$R$5:$R$65,"Si")</f>
        <v>1</v>
      </c>
      <c r="AG40" s="26" t="s">
        <v>9</v>
      </c>
      <c r="AH40" s="26">
        <f>COUNTIFS($I$5:$I$65,"1",$R$5:$R$65,"Si")</f>
        <v>10</v>
      </c>
      <c r="AI40" s="26"/>
      <c r="AJ40" s="52"/>
      <c r="AK40" s="50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x14ac:dyDescent="0.25">
      <c r="A41" s="36">
        <v>37</v>
      </c>
      <c r="B41" s="29">
        <v>42934</v>
      </c>
      <c r="C41" s="31" t="s">
        <v>23</v>
      </c>
      <c r="D41" s="28"/>
      <c r="E41" s="28">
        <v>1</v>
      </c>
      <c r="F41" s="28"/>
      <c r="G41" s="28"/>
      <c r="H41" s="28"/>
      <c r="I41" s="28"/>
      <c r="J41" s="33" t="s">
        <v>77</v>
      </c>
      <c r="K41" s="28" t="s">
        <v>78</v>
      </c>
      <c r="L41" s="31" t="s">
        <v>20</v>
      </c>
      <c r="M41" s="31" t="s">
        <v>20</v>
      </c>
      <c r="N41" s="31" t="s">
        <v>25</v>
      </c>
      <c r="O41" s="31" t="s">
        <v>25</v>
      </c>
      <c r="P41" s="31" t="s">
        <v>25</v>
      </c>
      <c r="Q41" s="31" t="s">
        <v>34</v>
      </c>
      <c r="R41" s="31" t="s">
        <v>20</v>
      </c>
      <c r="S41" s="31" t="s">
        <v>20</v>
      </c>
      <c r="U41" s="137" t="s">
        <v>43</v>
      </c>
      <c r="V41" s="12" t="s">
        <v>20</v>
      </c>
      <c r="W41" s="14">
        <f>+COUNTIF(S5:S65,"Si")</f>
        <v>16</v>
      </c>
      <c r="X41" s="125" t="s">
        <v>118</v>
      </c>
      <c r="Y41" s="48" t="s">
        <v>114</v>
      </c>
      <c r="Z41" s="49">
        <f>COUNTIFS($C$5:$C$65,"M",$S$5:$S$65,"Si")</f>
        <v>6</v>
      </c>
      <c r="AA41" s="125" t="s">
        <v>117</v>
      </c>
      <c r="AB41" s="48" t="s">
        <v>114</v>
      </c>
      <c r="AC41" s="55">
        <f>COUNTIFS($C$5:$C$65,"M",$S$5:$S$65,"No")</f>
        <v>23</v>
      </c>
      <c r="AD41" s="125" t="s">
        <v>118</v>
      </c>
      <c r="AE41" s="48" t="s">
        <v>4</v>
      </c>
      <c r="AF41" s="48">
        <f>COUNTIFS($D$5:$D$65,"1",$S$5:$S$65,"Si")</f>
        <v>6</v>
      </c>
      <c r="AG41" s="48" t="s">
        <v>7</v>
      </c>
      <c r="AH41" s="48">
        <f>COUNTIFS($G$5:$G$65,"1",$S$5:$S$65,"Si")</f>
        <v>0</v>
      </c>
      <c r="AI41" s="48" t="s">
        <v>29</v>
      </c>
      <c r="AJ41" s="49">
        <f>COUNTIFS($I$5:$I$65,"Blanco",$S$5:$S$65,"Si")</f>
        <v>0</v>
      </c>
      <c r="AK41" s="50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x14ac:dyDescent="0.25">
      <c r="A42" s="36">
        <v>38</v>
      </c>
      <c r="B42" s="29">
        <v>42934</v>
      </c>
      <c r="C42" s="6" t="s">
        <v>30</v>
      </c>
      <c r="D42" s="6"/>
      <c r="E42" s="6"/>
      <c r="F42" s="6"/>
      <c r="G42" s="6">
        <v>1</v>
      </c>
      <c r="H42" s="6"/>
      <c r="I42" s="6"/>
      <c r="J42" s="33" t="s">
        <v>77</v>
      </c>
      <c r="K42" s="28" t="s">
        <v>78</v>
      </c>
      <c r="L42" s="6" t="s">
        <v>25</v>
      </c>
      <c r="M42" s="6" t="s">
        <v>25</v>
      </c>
      <c r="N42" s="6" t="s">
        <v>25</v>
      </c>
      <c r="O42" s="6" t="s">
        <v>25</v>
      </c>
      <c r="P42" s="6" t="s">
        <v>25</v>
      </c>
      <c r="Q42" s="6" t="s">
        <v>27</v>
      </c>
      <c r="R42" s="6" t="s">
        <v>25</v>
      </c>
      <c r="S42" s="6" t="s">
        <v>25</v>
      </c>
      <c r="U42" s="109"/>
      <c r="V42" s="9" t="s">
        <v>25</v>
      </c>
      <c r="W42" s="15">
        <f>+COUNTIF(S5:S65,"No")</f>
        <v>45</v>
      </c>
      <c r="X42" s="126"/>
      <c r="Y42" s="6" t="s">
        <v>115</v>
      </c>
      <c r="Z42" s="51">
        <f>COUNTIFS($C$5:$C$65,"F",$S$5:$S$65,"Si")</f>
        <v>10</v>
      </c>
      <c r="AA42" s="126"/>
      <c r="AB42" s="6" t="s">
        <v>115</v>
      </c>
      <c r="AC42" s="57">
        <f>COUNTIFS($C$5:$C$65,"F",$S$5:$S$65,"No")</f>
        <v>19</v>
      </c>
      <c r="AD42" s="126"/>
      <c r="AE42" s="6" t="s">
        <v>5</v>
      </c>
      <c r="AF42" s="6">
        <f>COUNTIFS($E$5:$E$65,"1",$S$6:$S$66,"Si")</f>
        <v>3</v>
      </c>
      <c r="AG42" s="39" t="s">
        <v>8</v>
      </c>
      <c r="AH42" s="6">
        <f>COUNTIFS($H$5:$H$65,"1",$S$5:$S$65,"Si")</f>
        <v>1</v>
      </c>
      <c r="AI42" s="6"/>
      <c r="AJ42" s="51"/>
      <c r="AK42" s="50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5.75" thickBot="1" x14ac:dyDescent="0.3">
      <c r="A43" s="36">
        <v>39</v>
      </c>
      <c r="B43" s="29">
        <v>42934</v>
      </c>
      <c r="C43" s="6" t="s">
        <v>30</v>
      </c>
      <c r="D43" s="6"/>
      <c r="E43" s="6"/>
      <c r="F43" s="6"/>
      <c r="G43" s="6"/>
      <c r="H43" s="6"/>
      <c r="I43" s="6">
        <v>1</v>
      </c>
      <c r="J43" s="33" t="s">
        <v>77</v>
      </c>
      <c r="K43" s="28" t="s">
        <v>78</v>
      </c>
      <c r="L43" s="6" t="s">
        <v>25</v>
      </c>
      <c r="M43" s="6" t="s">
        <v>25</v>
      </c>
      <c r="N43" s="6" t="s">
        <v>25</v>
      </c>
      <c r="O43" s="6" t="s">
        <v>25</v>
      </c>
      <c r="P43" s="6" t="s">
        <v>25</v>
      </c>
      <c r="Q43" s="6" t="s">
        <v>27</v>
      </c>
      <c r="R43" s="6" t="s">
        <v>20</v>
      </c>
      <c r="S43" s="6" t="s">
        <v>20</v>
      </c>
      <c r="U43" s="110"/>
      <c r="V43" s="13" t="s">
        <v>29</v>
      </c>
      <c r="W43" s="16">
        <f>+COUNTIF(S5:S65,"Blanco")</f>
        <v>0</v>
      </c>
      <c r="X43" s="127"/>
      <c r="Y43" s="26" t="s">
        <v>29</v>
      </c>
      <c r="Z43" s="52">
        <f>COUNTIFS($C$5:$C$65,"Blanco",$S$5:$S$65,"Si")</f>
        <v>0</v>
      </c>
      <c r="AA43" s="127"/>
      <c r="AB43" s="26" t="s">
        <v>29</v>
      </c>
      <c r="AC43" s="58">
        <f>COUNTIFS($C$5:$C$65,"Blanco",$S$5:$S$65,"No")</f>
        <v>3</v>
      </c>
      <c r="AD43" s="127"/>
      <c r="AE43" s="26" t="s">
        <v>6</v>
      </c>
      <c r="AF43" s="26">
        <f>COUNTIFS($F$5:$F$65,"1",$S$5:$S$65,"Si")</f>
        <v>0</v>
      </c>
      <c r="AG43" s="26" t="s">
        <v>9</v>
      </c>
      <c r="AH43" s="26">
        <f>COUNTIFS($I$5:$I$65,"1",$S$5:$S$65,"Si")</f>
        <v>6</v>
      </c>
      <c r="AI43" s="26"/>
      <c r="AJ43" s="52"/>
      <c r="AK43" s="50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x14ac:dyDescent="0.25">
      <c r="A44" s="36">
        <v>40</v>
      </c>
      <c r="B44" s="5">
        <v>42933</v>
      </c>
      <c r="C44" s="6" t="s">
        <v>30</v>
      </c>
      <c r="D44" s="6"/>
      <c r="E44" s="6"/>
      <c r="F44" s="6"/>
      <c r="G44" s="6"/>
      <c r="H44" s="6"/>
      <c r="I44" s="6">
        <v>1</v>
      </c>
      <c r="J44" s="33" t="s">
        <v>77</v>
      </c>
      <c r="K44" s="6" t="s">
        <v>75</v>
      </c>
      <c r="L44" s="6" t="s">
        <v>20</v>
      </c>
      <c r="M44" s="6" t="s">
        <v>25</v>
      </c>
      <c r="N44" s="6" t="s">
        <v>25</v>
      </c>
      <c r="O44" s="6" t="s">
        <v>25</v>
      </c>
      <c r="P44" s="6" t="s">
        <v>25</v>
      </c>
      <c r="Q44" s="6" t="s">
        <v>34</v>
      </c>
      <c r="R44" s="6" t="s">
        <v>20</v>
      </c>
      <c r="S44" s="6" t="s">
        <v>20</v>
      </c>
    </row>
    <row r="45" spans="1:50" x14ac:dyDescent="0.25">
      <c r="A45" s="36">
        <v>41</v>
      </c>
      <c r="B45" s="5">
        <v>42933</v>
      </c>
      <c r="C45" s="6" t="s">
        <v>30</v>
      </c>
      <c r="D45" s="6"/>
      <c r="E45" s="6"/>
      <c r="F45" s="6"/>
      <c r="G45" s="6"/>
      <c r="H45" s="6"/>
      <c r="I45" s="6">
        <v>1</v>
      </c>
      <c r="J45" s="33" t="s">
        <v>77</v>
      </c>
      <c r="K45" s="6" t="s">
        <v>75</v>
      </c>
      <c r="L45" s="6" t="s">
        <v>20</v>
      </c>
      <c r="M45" s="6" t="s">
        <v>20</v>
      </c>
      <c r="N45" s="6" t="s">
        <v>25</v>
      </c>
      <c r="O45" s="6" t="s">
        <v>25</v>
      </c>
      <c r="P45" s="6" t="s">
        <v>25</v>
      </c>
      <c r="Q45" s="6" t="s">
        <v>27</v>
      </c>
      <c r="R45" s="6" t="s">
        <v>25</v>
      </c>
      <c r="S45" s="6" t="s">
        <v>20</v>
      </c>
    </row>
    <row r="46" spans="1:50" x14ac:dyDescent="0.25">
      <c r="A46" s="36">
        <v>42</v>
      </c>
      <c r="B46" s="5">
        <v>42933</v>
      </c>
      <c r="C46" s="6" t="s">
        <v>30</v>
      </c>
      <c r="D46" s="6">
        <v>1</v>
      </c>
      <c r="E46" s="6"/>
      <c r="F46" s="6"/>
      <c r="G46" s="6"/>
      <c r="H46" s="6"/>
      <c r="I46" s="6"/>
      <c r="J46" s="33" t="s">
        <v>77</v>
      </c>
      <c r="K46" s="6" t="s">
        <v>75</v>
      </c>
      <c r="L46" s="6" t="s">
        <v>25</v>
      </c>
      <c r="M46" s="6" t="s">
        <v>20</v>
      </c>
      <c r="N46" s="6" t="s">
        <v>25</v>
      </c>
      <c r="O46" s="6" t="s">
        <v>25</v>
      </c>
      <c r="P46" s="6" t="s">
        <v>25</v>
      </c>
      <c r="Q46" s="6" t="s">
        <v>26</v>
      </c>
      <c r="R46" s="6" t="s">
        <v>20</v>
      </c>
      <c r="S46" s="6" t="s">
        <v>20</v>
      </c>
    </row>
    <row r="47" spans="1:50" x14ac:dyDescent="0.25">
      <c r="A47" s="36">
        <v>43</v>
      </c>
      <c r="B47" s="5">
        <v>42933</v>
      </c>
      <c r="C47" s="6" t="s">
        <v>23</v>
      </c>
      <c r="D47" s="6"/>
      <c r="E47" s="6">
        <v>1</v>
      </c>
      <c r="F47" s="6"/>
      <c r="G47" s="6"/>
      <c r="H47" s="6"/>
      <c r="I47" s="6"/>
      <c r="J47" s="33" t="s">
        <v>77</v>
      </c>
      <c r="K47" s="6" t="s">
        <v>75</v>
      </c>
      <c r="L47" s="6" t="s">
        <v>20</v>
      </c>
      <c r="M47" s="6" t="s">
        <v>20</v>
      </c>
      <c r="N47" s="6" t="s">
        <v>25</v>
      </c>
      <c r="O47" s="6" t="s">
        <v>25</v>
      </c>
      <c r="P47" s="6" t="s">
        <v>25</v>
      </c>
      <c r="Q47" s="6" t="s">
        <v>26</v>
      </c>
      <c r="R47" s="6" t="s">
        <v>25</v>
      </c>
      <c r="S47" s="6" t="s">
        <v>25</v>
      </c>
    </row>
    <row r="48" spans="1:50" x14ac:dyDescent="0.25">
      <c r="A48" s="36">
        <v>44</v>
      </c>
      <c r="B48" s="5">
        <v>42933</v>
      </c>
      <c r="C48" s="6" t="s">
        <v>23</v>
      </c>
      <c r="D48" s="6"/>
      <c r="E48" s="6">
        <v>1</v>
      </c>
      <c r="F48" s="6"/>
      <c r="G48" s="6"/>
      <c r="H48" s="6"/>
      <c r="I48" s="6"/>
      <c r="J48" s="33" t="s">
        <v>77</v>
      </c>
      <c r="K48" s="6" t="s">
        <v>75</v>
      </c>
      <c r="L48" s="6" t="s">
        <v>20</v>
      </c>
      <c r="M48" s="6" t="s">
        <v>20</v>
      </c>
      <c r="N48" s="6" t="s">
        <v>25</v>
      </c>
      <c r="O48" s="6" t="s">
        <v>25</v>
      </c>
      <c r="P48" s="6" t="s">
        <v>25</v>
      </c>
      <c r="Q48" s="6" t="s">
        <v>26</v>
      </c>
      <c r="R48" s="6" t="s">
        <v>20</v>
      </c>
      <c r="S48" s="6" t="s">
        <v>20</v>
      </c>
    </row>
    <row r="49" spans="1:19" x14ac:dyDescent="0.25">
      <c r="A49" s="36">
        <v>45</v>
      </c>
      <c r="B49" s="5">
        <v>42933</v>
      </c>
      <c r="C49" s="6" t="s">
        <v>23</v>
      </c>
      <c r="D49" s="6">
        <v>1</v>
      </c>
      <c r="E49" s="6"/>
      <c r="F49" s="6"/>
      <c r="G49" s="6"/>
      <c r="H49" s="6"/>
      <c r="I49" s="6"/>
      <c r="J49" s="33" t="s">
        <v>77</v>
      </c>
      <c r="K49" s="6" t="s">
        <v>75</v>
      </c>
      <c r="L49" s="6" t="s">
        <v>25</v>
      </c>
      <c r="M49" s="6" t="s">
        <v>20</v>
      </c>
      <c r="N49" s="6" t="s">
        <v>25</v>
      </c>
      <c r="O49" s="6" t="s">
        <v>25</v>
      </c>
      <c r="P49" s="6" t="s">
        <v>25</v>
      </c>
      <c r="Q49" s="6" t="s">
        <v>26</v>
      </c>
      <c r="R49" s="6" t="s">
        <v>25</v>
      </c>
      <c r="S49" s="6" t="s">
        <v>20</v>
      </c>
    </row>
    <row r="50" spans="1:19" x14ac:dyDescent="0.25">
      <c r="A50" s="36">
        <v>46</v>
      </c>
      <c r="B50" s="5">
        <v>42933</v>
      </c>
      <c r="C50" s="6" t="s">
        <v>23</v>
      </c>
      <c r="D50" s="6">
        <v>1</v>
      </c>
      <c r="E50" s="6"/>
      <c r="F50" s="6"/>
      <c r="G50" s="6"/>
      <c r="H50" s="6"/>
      <c r="I50" s="6"/>
      <c r="J50" s="33" t="s">
        <v>77</v>
      </c>
      <c r="K50" s="6" t="s">
        <v>75</v>
      </c>
      <c r="L50" s="6" t="s">
        <v>25</v>
      </c>
      <c r="M50" s="6" t="s">
        <v>20</v>
      </c>
      <c r="N50" s="6" t="s">
        <v>25</v>
      </c>
      <c r="O50" s="6" t="s">
        <v>25</v>
      </c>
      <c r="P50" s="6" t="s">
        <v>25</v>
      </c>
      <c r="Q50" s="6" t="s">
        <v>26</v>
      </c>
      <c r="R50" s="6" t="s">
        <v>25</v>
      </c>
      <c r="S50" s="6" t="s">
        <v>25</v>
      </c>
    </row>
    <row r="51" spans="1:19" x14ac:dyDescent="0.25">
      <c r="A51" s="36">
        <v>47</v>
      </c>
      <c r="B51" s="5">
        <v>42933</v>
      </c>
      <c r="C51" s="6" t="s">
        <v>30</v>
      </c>
      <c r="D51" s="6"/>
      <c r="E51" s="6"/>
      <c r="F51" s="6">
        <v>1</v>
      </c>
      <c r="G51" s="6"/>
      <c r="H51" s="6"/>
      <c r="I51" s="6"/>
      <c r="J51" s="33" t="s">
        <v>77</v>
      </c>
      <c r="K51" s="6" t="s">
        <v>75</v>
      </c>
      <c r="L51" s="6" t="s">
        <v>25</v>
      </c>
      <c r="M51" s="6" t="s">
        <v>25</v>
      </c>
      <c r="N51" s="6" t="s">
        <v>25</v>
      </c>
      <c r="O51" s="6" t="s">
        <v>25</v>
      </c>
      <c r="P51" s="6" t="s">
        <v>25</v>
      </c>
      <c r="Q51" s="6" t="s">
        <v>34</v>
      </c>
      <c r="R51" s="6" t="s">
        <v>25</v>
      </c>
      <c r="S51" s="6" t="s">
        <v>25</v>
      </c>
    </row>
    <row r="52" spans="1:19" x14ac:dyDescent="0.25">
      <c r="A52" s="36">
        <v>48</v>
      </c>
      <c r="B52" s="5">
        <v>42933</v>
      </c>
      <c r="C52" s="6" t="s">
        <v>23</v>
      </c>
      <c r="D52" s="6">
        <v>1</v>
      </c>
      <c r="E52" s="6"/>
      <c r="F52" s="6"/>
      <c r="G52" s="6"/>
      <c r="H52" s="6"/>
      <c r="I52" s="6"/>
      <c r="J52" s="33" t="s">
        <v>77</v>
      </c>
      <c r="K52" s="6" t="s">
        <v>75</v>
      </c>
      <c r="L52" s="6" t="s">
        <v>20</v>
      </c>
      <c r="M52" s="6" t="s">
        <v>25</v>
      </c>
      <c r="N52" s="6" t="s">
        <v>25</v>
      </c>
      <c r="O52" s="6" t="s">
        <v>25</v>
      </c>
      <c r="P52" s="6" t="s">
        <v>25</v>
      </c>
      <c r="Q52" s="6" t="s">
        <v>26</v>
      </c>
      <c r="R52" s="6" t="s">
        <v>25</v>
      </c>
      <c r="S52" s="6" t="s">
        <v>25</v>
      </c>
    </row>
    <row r="53" spans="1:19" x14ac:dyDescent="0.25">
      <c r="A53" s="36">
        <v>49</v>
      </c>
      <c r="B53" s="5">
        <v>42933</v>
      </c>
      <c r="C53" s="6" t="s">
        <v>23</v>
      </c>
      <c r="D53" s="6"/>
      <c r="E53" s="6"/>
      <c r="F53" s="6"/>
      <c r="G53" s="6"/>
      <c r="H53" s="6"/>
      <c r="I53" s="6">
        <v>1</v>
      </c>
      <c r="J53" s="33" t="s">
        <v>77</v>
      </c>
      <c r="K53" s="6" t="s">
        <v>75</v>
      </c>
      <c r="L53" s="6" t="s">
        <v>25</v>
      </c>
      <c r="M53" s="6" t="s">
        <v>25</v>
      </c>
      <c r="N53" s="6" t="s">
        <v>25</v>
      </c>
      <c r="O53" s="6" t="s">
        <v>25</v>
      </c>
      <c r="P53" s="6" t="s">
        <v>25</v>
      </c>
      <c r="Q53" s="6" t="s">
        <v>34</v>
      </c>
      <c r="R53" s="6" t="s">
        <v>25</v>
      </c>
      <c r="S53" s="6" t="s">
        <v>20</v>
      </c>
    </row>
    <row r="54" spans="1:19" x14ac:dyDescent="0.25">
      <c r="A54" s="36">
        <v>50</v>
      </c>
      <c r="B54" s="5">
        <v>42933</v>
      </c>
      <c r="C54" s="6" t="s">
        <v>23</v>
      </c>
      <c r="D54" s="6"/>
      <c r="E54" s="6">
        <v>1</v>
      </c>
      <c r="F54" s="6"/>
      <c r="G54" s="6"/>
      <c r="H54" s="6"/>
      <c r="I54" s="6"/>
      <c r="J54" s="33" t="s">
        <v>77</v>
      </c>
      <c r="K54" s="6" t="s">
        <v>79</v>
      </c>
      <c r="L54" s="6" t="s">
        <v>25</v>
      </c>
      <c r="M54" s="6" t="s">
        <v>20</v>
      </c>
      <c r="N54" s="6" t="s">
        <v>25</v>
      </c>
      <c r="O54" s="6" t="s">
        <v>25</v>
      </c>
      <c r="P54" s="6" t="s">
        <v>25</v>
      </c>
      <c r="Q54" s="6" t="s">
        <v>28</v>
      </c>
      <c r="R54" s="6" t="s">
        <v>25</v>
      </c>
      <c r="S54" s="6" t="s">
        <v>25</v>
      </c>
    </row>
    <row r="55" spans="1:19" x14ac:dyDescent="0.25">
      <c r="A55" s="36">
        <v>51</v>
      </c>
      <c r="B55" s="5">
        <v>42933</v>
      </c>
      <c r="C55" s="6" t="s">
        <v>30</v>
      </c>
      <c r="D55" s="6"/>
      <c r="E55" s="6"/>
      <c r="F55" s="6">
        <v>1</v>
      </c>
      <c r="G55" s="6"/>
      <c r="H55" s="6"/>
      <c r="I55" s="6"/>
      <c r="J55" s="33" t="s">
        <v>77</v>
      </c>
      <c r="K55" s="6" t="s">
        <v>79</v>
      </c>
      <c r="L55" s="6" t="s">
        <v>25</v>
      </c>
      <c r="M55" s="6" t="s">
        <v>25</v>
      </c>
      <c r="N55" s="6" t="s">
        <v>25</v>
      </c>
      <c r="O55" s="6" t="s">
        <v>25</v>
      </c>
      <c r="P55" s="6" t="s">
        <v>25</v>
      </c>
      <c r="Q55" s="6" t="s">
        <v>34</v>
      </c>
      <c r="R55" s="6" t="s">
        <v>25</v>
      </c>
      <c r="S55" s="6" t="s">
        <v>25</v>
      </c>
    </row>
    <row r="56" spans="1:19" x14ac:dyDescent="0.25">
      <c r="A56" s="36">
        <v>52</v>
      </c>
      <c r="B56" s="5">
        <v>42933</v>
      </c>
      <c r="C56" s="20" t="s">
        <v>29</v>
      </c>
      <c r="D56" s="6"/>
      <c r="E56" s="6"/>
      <c r="F56" s="6"/>
      <c r="G56" s="6"/>
      <c r="H56" s="6"/>
      <c r="I56" s="6">
        <v>1</v>
      </c>
      <c r="J56" s="33" t="s">
        <v>77</v>
      </c>
      <c r="K56" s="6" t="s">
        <v>79</v>
      </c>
      <c r="L56" s="6" t="s">
        <v>25</v>
      </c>
      <c r="M56" s="6" t="s">
        <v>20</v>
      </c>
      <c r="N56" s="6" t="s">
        <v>25</v>
      </c>
      <c r="O56" s="6" t="s">
        <v>25</v>
      </c>
      <c r="P56" s="6" t="s">
        <v>25</v>
      </c>
      <c r="Q56" s="6" t="s">
        <v>26</v>
      </c>
      <c r="R56" s="6" t="s">
        <v>20</v>
      </c>
      <c r="S56" s="6" t="s">
        <v>25</v>
      </c>
    </row>
    <row r="57" spans="1:19" x14ac:dyDescent="0.25">
      <c r="A57" s="36">
        <v>53</v>
      </c>
      <c r="B57" s="5">
        <v>42933</v>
      </c>
      <c r="C57" s="20" t="s">
        <v>29</v>
      </c>
      <c r="D57" s="6"/>
      <c r="E57" s="6"/>
      <c r="F57" s="6"/>
      <c r="G57" s="6"/>
      <c r="H57" s="6"/>
      <c r="I57" s="6">
        <v>1</v>
      </c>
      <c r="J57" s="33" t="s">
        <v>77</v>
      </c>
      <c r="K57" s="6" t="s">
        <v>79</v>
      </c>
      <c r="L57" s="6" t="s">
        <v>25</v>
      </c>
      <c r="M57" s="6" t="s">
        <v>25</v>
      </c>
      <c r="N57" s="6" t="s">
        <v>25</v>
      </c>
      <c r="O57" s="6" t="s">
        <v>25</v>
      </c>
      <c r="P57" s="6" t="s">
        <v>25</v>
      </c>
      <c r="Q57" s="6" t="s">
        <v>26</v>
      </c>
      <c r="R57" s="6" t="s">
        <v>25</v>
      </c>
      <c r="S57" s="6" t="s">
        <v>25</v>
      </c>
    </row>
    <row r="58" spans="1:19" x14ac:dyDescent="0.25">
      <c r="A58" s="36">
        <v>54</v>
      </c>
      <c r="B58" s="5">
        <v>42933</v>
      </c>
      <c r="C58" s="20" t="s">
        <v>29</v>
      </c>
      <c r="D58" s="6"/>
      <c r="E58" s="6"/>
      <c r="F58" s="6"/>
      <c r="G58" s="6"/>
      <c r="H58" s="6"/>
      <c r="I58" s="6">
        <v>1</v>
      </c>
      <c r="J58" s="33" t="s">
        <v>77</v>
      </c>
      <c r="K58" s="6" t="s">
        <v>79</v>
      </c>
      <c r="L58" s="6" t="s">
        <v>25</v>
      </c>
      <c r="M58" s="6" t="s">
        <v>25</v>
      </c>
      <c r="N58" s="6" t="s">
        <v>25</v>
      </c>
      <c r="O58" s="6" t="s">
        <v>25</v>
      </c>
      <c r="P58" s="6" t="s">
        <v>25</v>
      </c>
      <c r="Q58" s="6" t="s">
        <v>26</v>
      </c>
      <c r="R58" s="6" t="s">
        <v>25</v>
      </c>
      <c r="S58" s="6" t="s">
        <v>25</v>
      </c>
    </row>
    <row r="59" spans="1:19" x14ac:dyDescent="0.25">
      <c r="A59" s="36">
        <v>55</v>
      </c>
      <c r="B59" s="5">
        <v>42933</v>
      </c>
      <c r="C59" s="6" t="s">
        <v>30</v>
      </c>
      <c r="D59" s="6"/>
      <c r="E59" s="6"/>
      <c r="F59" s="6"/>
      <c r="G59" s="6"/>
      <c r="H59" s="6"/>
      <c r="I59" s="6">
        <v>1</v>
      </c>
      <c r="J59" s="33" t="s">
        <v>77</v>
      </c>
      <c r="K59" s="6" t="s">
        <v>79</v>
      </c>
      <c r="L59" s="6" t="s">
        <v>25</v>
      </c>
      <c r="M59" s="6" t="s">
        <v>20</v>
      </c>
      <c r="N59" s="6" t="s">
        <v>25</v>
      </c>
      <c r="O59" s="6" t="s">
        <v>25</v>
      </c>
      <c r="P59" s="6" t="s">
        <v>20</v>
      </c>
      <c r="Q59" s="6" t="s">
        <v>26</v>
      </c>
      <c r="R59" s="6" t="s">
        <v>20</v>
      </c>
      <c r="S59" s="6" t="s">
        <v>25</v>
      </c>
    </row>
    <row r="60" spans="1:19" x14ac:dyDescent="0.25">
      <c r="A60" s="36">
        <v>56</v>
      </c>
      <c r="B60" s="5">
        <v>42933</v>
      </c>
      <c r="C60" s="6" t="s">
        <v>30</v>
      </c>
      <c r="D60" s="6"/>
      <c r="E60" s="6"/>
      <c r="F60" s="6"/>
      <c r="G60" s="6"/>
      <c r="H60" s="6">
        <v>1</v>
      </c>
      <c r="I60" s="6"/>
      <c r="J60" s="33" t="s">
        <v>77</v>
      </c>
      <c r="K60" s="6" t="s">
        <v>79</v>
      </c>
      <c r="L60" s="6" t="s">
        <v>25</v>
      </c>
      <c r="M60" s="6" t="s">
        <v>20</v>
      </c>
      <c r="N60" s="6" t="s">
        <v>25</v>
      </c>
      <c r="O60" s="6" t="s">
        <v>25</v>
      </c>
      <c r="P60" s="6" t="s">
        <v>25</v>
      </c>
      <c r="Q60" s="6" t="s">
        <v>34</v>
      </c>
      <c r="R60" s="6" t="s">
        <v>20</v>
      </c>
      <c r="S60" s="6" t="s">
        <v>25</v>
      </c>
    </row>
    <row r="61" spans="1:19" x14ac:dyDescent="0.25">
      <c r="A61" s="36">
        <v>57</v>
      </c>
      <c r="B61" s="5">
        <v>42933</v>
      </c>
      <c r="C61" s="6" t="s">
        <v>30</v>
      </c>
      <c r="D61" s="6"/>
      <c r="E61" s="6"/>
      <c r="F61" s="6"/>
      <c r="G61" s="6"/>
      <c r="H61" s="6"/>
      <c r="I61" s="6">
        <v>1</v>
      </c>
      <c r="J61" s="33" t="s">
        <v>77</v>
      </c>
      <c r="K61" s="6" t="s">
        <v>79</v>
      </c>
      <c r="L61" s="6" t="s">
        <v>25</v>
      </c>
      <c r="M61" s="6" t="s">
        <v>20</v>
      </c>
      <c r="N61" s="6" t="s">
        <v>25</v>
      </c>
      <c r="O61" s="6" t="s">
        <v>25</v>
      </c>
      <c r="P61" s="6" t="s">
        <v>25</v>
      </c>
      <c r="Q61" s="6" t="s">
        <v>34</v>
      </c>
      <c r="R61" s="6" t="s">
        <v>20</v>
      </c>
      <c r="S61" s="6" t="s">
        <v>25</v>
      </c>
    </row>
    <row r="62" spans="1:19" x14ac:dyDescent="0.25">
      <c r="A62" s="36">
        <v>58</v>
      </c>
      <c r="B62" s="5">
        <v>42933</v>
      </c>
      <c r="C62" s="6" t="s">
        <v>30</v>
      </c>
      <c r="D62" s="6"/>
      <c r="E62" s="6"/>
      <c r="F62" s="6"/>
      <c r="G62" s="6">
        <v>1</v>
      </c>
      <c r="H62" s="6"/>
      <c r="I62" s="6"/>
      <c r="J62" s="33" t="s">
        <v>77</v>
      </c>
      <c r="K62" s="6" t="s">
        <v>79</v>
      </c>
      <c r="L62" s="6" t="s">
        <v>25</v>
      </c>
      <c r="M62" s="6" t="s">
        <v>25</v>
      </c>
      <c r="N62" s="6" t="s">
        <v>25</v>
      </c>
      <c r="O62" s="6" t="s">
        <v>25</v>
      </c>
      <c r="P62" s="6" t="s">
        <v>25</v>
      </c>
      <c r="Q62" s="6" t="s">
        <v>26</v>
      </c>
      <c r="R62" s="6" t="s">
        <v>25</v>
      </c>
      <c r="S62" s="6" t="s">
        <v>25</v>
      </c>
    </row>
    <row r="63" spans="1:19" x14ac:dyDescent="0.25">
      <c r="A63" s="36">
        <v>59</v>
      </c>
      <c r="B63" s="5">
        <v>42933</v>
      </c>
      <c r="C63" s="6" t="s">
        <v>30</v>
      </c>
      <c r="D63" s="6"/>
      <c r="E63" s="6"/>
      <c r="F63" s="6"/>
      <c r="G63" s="6"/>
      <c r="H63" s="6"/>
      <c r="I63" s="6">
        <v>1</v>
      </c>
      <c r="J63" s="33" t="s">
        <v>77</v>
      </c>
      <c r="K63" s="6" t="s">
        <v>79</v>
      </c>
      <c r="L63" s="6" t="s">
        <v>25</v>
      </c>
      <c r="M63" s="6" t="s">
        <v>20</v>
      </c>
      <c r="N63" s="6" t="s">
        <v>25</v>
      </c>
      <c r="O63" s="6" t="s">
        <v>25</v>
      </c>
      <c r="P63" s="6" t="s">
        <v>25</v>
      </c>
      <c r="Q63" s="6" t="s">
        <v>26</v>
      </c>
      <c r="R63" s="6" t="s">
        <v>20</v>
      </c>
      <c r="S63" s="6" t="s">
        <v>31</v>
      </c>
    </row>
    <row r="64" spans="1:19" x14ac:dyDescent="0.25">
      <c r="A64" s="36">
        <v>60</v>
      </c>
      <c r="B64" s="5">
        <v>42933</v>
      </c>
      <c r="C64" s="6" t="s">
        <v>23</v>
      </c>
      <c r="D64" s="6">
        <v>1</v>
      </c>
      <c r="E64" s="6"/>
      <c r="F64" s="6"/>
      <c r="G64" s="6"/>
      <c r="H64" s="6"/>
      <c r="I64" s="6"/>
      <c r="J64" s="33" t="s">
        <v>77</v>
      </c>
      <c r="K64" s="6" t="s">
        <v>76</v>
      </c>
      <c r="L64" s="6" t="s">
        <v>25</v>
      </c>
      <c r="M64" s="6" t="s">
        <v>25</v>
      </c>
      <c r="N64" s="6" t="s">
        <v>25</v>
      </c>
      <c r="O64" s="6" t="s">
        <v>25</v>
      </c>
      <c r="P64" s="6" t="s">
        <v>25</v>
      </c>
      <c r="Q64" s="6" t="s">
        <v>28</v>
      </c>
      <c r="R64" s="6" t="s">
        <v>20</v>
      </c>
      <c r="S64" s="6" t="s">
        <v>25</v>
      </c>
    </row>
    <row r="65" spans="1:19" x14ac:dyDescent="0.25">
      <c r="A65" s="36">
        <v>61</v>
      </c>
      <c r="B65" s="5">
        <v>42933</v>
      </c>
      <c r="C65" s="6" t="s">
        <v>23</v>
      </c>
      <c r="D65" s="6"/>
      <c r="E65" s="6">
        <v>1</v>
      </c>
      <c r="F65" s="6"/>
      <c r="G65" s="6"/>
      <c r="H65" s="6"/>
      <c r="I65" s="6"/>
      <c r="J65" s="33" t="s">
        <v>77</v>
      </c>
      <c r="K65" s="6" t="s">
        <v>76</v>
      </c>
      <c r="L65" s="6" t="s">
        <v>25</v>
      </c>
      <c r="M65" s="6" t="s">
        <v>25</v>
      </c>
      <c r="N65" s="6" t="s">
        <v>25</v>
      </c>
      <c r="O65" s="6" t="s">
        <v>25</v>
      </c>
      <c r="P65" s="6" t="s">
        <v>25</v>
      </c>
      <c r="Q65" s="6" t="s">
        <v>26</v>
      </c>
      <c r="R65" s="6" t="s">
        <v>20</v>
      </c>
      <c r="S65" s="6" t="s">
        <v>25</v>
      </c>
    </row>
  </sheetData>
  <mergeCells count="58">
    <mergeCell ref="X41:X43"/>
    <mergeCell ref="AA41:AA43"/>
    <mergeCell ref="AD41:AD43"/>
    <mergeCell ref="AG34:AG36"/>
    <mergeCell ref="AK34:AK36"/>
    <mergeCell ref="AR34:AR36"/>
    <mergeCell ref="X38:X40"/>
    <mergeCell ref="AA38:AA40"/>
    <mergeCell ref="AD38:AD40"/>
    <mergeCell ref="X31:X33"/>
    <mergeCell ref="AA31:AA33"/>
    <mergeCell ref="AD31:AD33"/>
    <mergeCell ref="X34:X36"/>
    <mergeCell ref="AA34:AA36"/>
    <mergeCell ref="AD34:AD36"/>
    <mergeCell ref="X25:X27"/>
    <mergeCell ref="AA25:AA27"/>
    <mergeCell ref="AD25:AD27"/>
    <mergeCell ref="X28:X30"/>
    <mergeCell ref="AA28:AA30"/>
    <mergeCell ref="AD28:AD30"/>
    <mergeCell ref="X19:X21"/>
    <mergeCell ref="AA19:AA21"/>
    <mergeCell ref="AD19:AD21"/>
    <mergeCell ref="X22:X24"/>
    <mergeCell ref="AA22:AA24"/>
    <mergeCell ref="AD22:AD24"/>
    <mergeCell ref="U34:U37"/>
    <mergeCell ref="U38:U40"/>
    <mergeCell ref="U41:U43"/>
    <mergeCell ref="U13:U18"/>
    <mergeCell ref="U19:U21"/>
    <mergeCell ref="U22:U24"/>
    <mergeCell ref="U25:U27"/>
    <mergeCell ref="U28:U30"/>
    <mergeCell ref="U31:U33"/>
    <mergeCell ref="U6:U12"/>
    <mergeCell ref="L3:L4"/>
    <mergeCell ref="M3:M4"/>
    <mergeCell ref="N3:N4"/>
    <mergeCell ref="O3:O4"/>
    <mergeCell ref="P3:P4"/>
    <mergeCell ref="Q3:Q4"/>
    <mergeCell ref="R3:R4"/>
    <mergeCell ref="S3:S4"/>
    <mergeCell ref="U3:V3"/>
    <mergeCell ref="U4:V4"/>
    <mergeCell ref="U5:V5"/>
    <mergeCell ref="A1:S1"/>
    <mergeCell ref="U1:W1"/>
    <mergeCell ref="A2:S2"/>
    <mergeCell ref="U2:V2"/>
    <mergeCell ref="A3:A4"/>
    <mergeCell ref="B3:B4"/>
    <mergeCell ref="C3:C4"/>
    <mergeCell ref="D3:I3"/>
    <mergeCell ref="J3:J4"/>
    <mergeCell ref="K3:K4"/>
  </mergeCells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41"/>
  <sheetViews>
    <sheetView topLeftCell="V1" zoomScale="50" zoomScaleNormal="50" workbookViewId="0">
      <selection activeCell="AG61" sqref="AG61"/>
    </sheetView>
  </sheetViews>
  <sheetFormatPr baseColWidth="10" defaultRowHeight="15" x14ac:dyDescent="0.25"/>
  <cols>
    <col min="1" max="1" width="4.140625" style="1" bestFit="1" customWidth="1"/>
    <col min="2" max="2" width="17.42578125" customWidth="1"/>
    <col min="4" max="4" width="9.7109375" bestFit="1" customWidth="1"/>
    <col min="5" max="5" width="10.140625" bestFit="1" customWidth="1"/>
    <col min="6" max="6" width="9.7109375" bestFit="1" customWidth="1"/>
    <col min="7" max="7" width="10.140625" bestFit="1" customWidth="1"/>
    <col min="8" max="8" width="9.7109375" bestFit="1" customWidth="1"/>
    <col min="9" max="9" width="14.140625" customWidth="1"/>
    <col min="10" max="10" width="20.140625" bestFit="1" customWidth="1"/>
    <col min="11" max="11" width="23.85546875" bestFit="1" customWidth="1"/>
    <col min="12" max="19" width="14.28515625" customWidth="1"/>
    <col min="21" max="21" width="48.42578125" style="7" customWidth="1"/>
    <col min="22" max="22" width="23.85546875" bestFit="1" customWidth="1"/>
    <col min="23" max="23" width="11.42578125" style="1"/>
  </cols>
  <sheetData>
    <row r="1" spans="1:50" ht="15.75" thickBot="1" x14ac:dyDescent="0.3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U1" s="144" t="s">
        <v>46</v>
      </c>
      <c r="V1" s="145"/>
      <c r="W1" s="148"/>
    </row>
    <row r="2" spans="1:50" ht="15.75" thickBot="1" x14ac:dyDescent="0.3">
      <c r="A2" s="123" t="s">
        <v>21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U2" s="144" t="s">
        <v>44</v>
      </c>
      <c r="V2" s="145"/>
      <c r="W2" s="17">
        <f>+COUNTIF(C5:C41,"M")</f>
        <v>20</v>
      </c>
    </row>
    <row r="3" spans="1:50" ht="15.75" customHeight="1" thickBot="1" x14ac:dyDescent="0.3">
      <c r="A3" s="149" t="s">
        <v>22</v>
      </c>
      <c r="B3" s="151" t="s">
        <v>2</v>
      </c>
      <c r="C3" s="149" t="s">
        <v>1</v>
      </c>
      <c r="D3" s="123" t="s">
        <v>3</v>
      </c>
      <c r="E3" s="123"/>
      <c r="F3" s="123"/>
      <c r="G3" s="123"/>
      <c r="H3" s="123"/>
      <c r="I3" s="123"/>
      <c r="J3" s="149" t="s">
        <v>11</v>
      </c>
      <c r="K3" s="149" t="s">
        <v>10</v>
      </c>
      <c r="L3" s="142" t="s">
        <v>12</v>
      </c>
      <c r="M3" s="142" t="s">
        <v>13</v>
      </c>
      <c r="N3" s="142" t="s">
        <v>14</v>
      </c>
      <c r="O3" s="142" t="s">
        <v>15</v>
      </c>
      <c r="P3" s="142" t="s">
        <v>16</v>
      </c>
      <c r="Q3" s="142" t="s">
        <v>17</v>
      </c>
      <c r="R3" s="142" t="s">
        <v>18</v>
      </c>
      <c r="S3" s="142" t="s">
        <v>19</v>
      </c>
      <c r="U3" s="144" t="s">
        <v>45</v>
      </c>
      <c r="V3" s="145"/>
      <c r="W3" s="17">
        <f>+COUNTIF(C5:C41,"F")</f>
        <v>13</v>
      </c>
    </row>
    <row r="4" spans="1:50" ht="15.75" customHeight="1" thickBot="1" x14ac:dyDescent="0.3">
      <c r="A4" s="150"/>
      <c r="B4" s="152"/>
      <c r="C4" s="150"/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150"/>
      <c r="K4" s="150"/>
      <c r="L4" s="143"/>
      <c r="M4" s="143"/>
      <c r="N4" s="143"/>
      <c r="O4" s="143"/>
      <c r="P4" s="143"/>
      <c r="Q4" s="143"/>
      <c r="R4" s="143"/>
      <c r="S4" s="143"/>
      <c r="U4" s="146" t="s">
        <v>29</v>
      </c>
      <c r="V4" s="147"/>
      <c r="W4" s="17">
        <f>+COUNTIF(C5:C41,"Blanco")</f>
        <v>2</v>
      </c>
    </row>
    <row r="5" spans="1:50" ht="15.75" thickBot="1" x14ac:dyDescent="0.3">
      <c r="A5" s="3">
        <v>1</v>
      </c>
      <c r="B5" s="29">
        <v>42927</v>
      </c>
      <c r="C5" s="28" t="s">
        <v>23</v>
      </c>
      <c r="D5" s="28"/>
      <c r="E5" s="28"/>
      <c r="F5" s="28">
        <v>1</v>
      </c>
      <c r="G5" s="28"/>
      <c r="H5" s="28"/>
      <c r="I5" s="28"/>
      <c r="J5" s="33" t="s">
        <v>69</v>
      </c>
      <c r="K5" s="33" t="s">
        <v>69</v>
      </c>
      <c r="L5" s="28" t="s">
        <v>20</v>
      </c>
      <c r="M5" s="28" t="s">
        <v>20</v>
      </c>
      <c r="N5" s="28" t="s">
        <v>25</v>
      </c>
      <c r="O5" s="28" t="s">
        <v>20</v>
      </c>
      <c r="P5" s="28" t="s">
        <v>25</v>
      </c>
      <c r="Q5" s="28" t="s">
        <v>27</v>
      </c>
      <c r="R5" s="28" t="s">
        <v>20</v>
      </c>
      <c r="S5" s="28" t="s">
        <v>20</v>
      </c>
      <c r="U5" s="146" t="s">
        <v>47</v>
      </c>
      <c r="V5" s="147"/>
      <c r="W5" s="18">
        <f>SUM(W2:W4)</f>
        <v>35</v>
      </c>
    </row>
    <row r="6" spans="1:50" x14ac:dyDescent="0.25">
      <c r="A6" s="3">
        <v>2</v>
      </c>
      <c r="B6" s="29">
        <v>42927</v>
      </c>
      <c r="C6" s="28" t="s">
        <v>30</v>
      </c>
      <c r="D6" s="28"/>
      <c r="E6" s="28"/>
      <c r="F6" s="28"/>
      <c r="G6" s="28"/>
      <c r="H6" s="28"/>
      <c r="I6" s="28">
        <v>1</v>
      </c>
      <c r="J6" s="33" t="s">
        <v>69</v>
      </c>
      <c r="K6" s="33" t="s">
        <v>69</v>
      </c>
      <c r="L6" s="28" t="s">
        <v>20</v>
      </c>
      <c r="M6" s="28" t="s">
        <v>20</v>
      </c>
      <c r="N6" s="28" t="s">
        <v>25</v>
      </c>
      <c r="O6" s="28" t="s">
        <v>25</v>
      </c>
      <c r="P6" s="28" t="s">
        <v>25</v>
      </c>
      <c r="Q6" s="28" t="s">
        <v>26</v>
      </c>
      <c r="R6" s="28" t="s">
        <v>20</v>
      </c>
      <c r="S6" s="28" t="s">
        <v>20</v>
      </c>
      <c r="U6" s="140" t="s">
        <v>3</v>
      </c>
      <c r="V6" s="11" t="s">
        <v>4</v>
      </c>
      <c r="W6" s="14">
        <f>+COUNTIF(D4:D41,"1")</f>
        <v>2</v>
      </c>
    </row>
    <row r="7" spans="1:50" x14ac:dyDescent="0.25">
      <c r="A7" s="3">
        <v>3</v>
      </c>
      <c r="B7" s="29">
        <v>42927</v>
      </c>
      <c r="C7" s="28" t="s">
        <v>30</v>
      </c>
      <c r="D7" s="28"/>
      <c r="E7" s="28"/>
      <c r="F7" s="28"/>
      <c r="G7" s="28">
        <v>1</v>
      </c>
      <c r="H7" s="28"/>
      <c r="I7" s="28"/>
      <c r="J7" s="33" t="s">
        <v>69</v>
      </c>
      <c r="K7" s="33" t="s">
        <v>69</v>
      </c>
      <c r="L7" s="28" t="s">
        <v>20</v>
      </c>
      <c r="M7" s="28" t="s">
        <v>20</v>
      </c>
      <c r="N7" s="28" t="s">
        <v>25</v>
      </c>
      <c r="O7" s="28" t="s">
        <v>25</v>
      </c>
      <c r="P7" s="28" t="s">
        <v>25</v>
      </c>
      <c r="Q7" s="28" t="s">
        <v>27</v>
      </c>
      <c r="R7" s="28" t="s">
        <v>25</v>
      </c>
      <c r="S7" s="28" t="s">
        <v>25</v>
      </c>
      <c r="U7" s="141"/>
      <c r="V7" s="8" t="s">
        <v>5</v>
      </c>
      <c r="W7" s="15">
        <f>+COUNTIF(E5:E41,"1")</f>
        <v>1</v>
      </c>
    </row>
    <row r="8" spans="1:50" x14ac:dyDescent="0.25">
      <c r="A8" s="3">
        <v>4</v>
      </c>
      <c r="B8" s="29">
        <v>42927</v>
      </c>
      <c r="C8" s="28" t="s">
        <v>30</v>
      </c>
      <c r="D8" s="28"/>
      <c r="E8" s="28"/>
      <c r="F8" s="28"/>
      <c r="G8" s="28"/>
      <c r="H8" s="28">
        <v>1</v>
      </c>
      <c r="I8" s="28"/>
      <c r="J8" s="33" t="s">
        <v>69</v>
      </c>
      <c r="K8" s="33" t="s">
        <v>69</v>
      </c>
      <c r="L8" s="28" t="s">
        <v>20</v>
      </c>
      <c r="M8" s="28" t="s">
        <v>20</v>
      </c>
      <c r="N8" s="28" t="s">
        <v>20</v>
      </c>
      <c r="O8" s="28" t="s">
        <v>25</v>
      </c>
      <c r="P8" s="28" t="s">
        <v>25</v>
      </c>
      <c r="Q8" s="28" t="s">
        <v>27</v>
      </c>
      <c r="R8" s="28" t="s">
        <v>20</v>
      </c>
      <c r="S8" s="28" t="s">
        <v>20</v>
      </c>
      <c r="U8" s="141"/>
      <c r="V8" s="8" t="s">
        <v>6</v>
      </c>
      <c r="W8" s="15">
        <f>+COUNTIF(F5:F41,"1")</f>
        <v>5</v>
      </c>
    </row>
    <row r="9" spans="1:50" x14ac:dyDescent="0.25">
      <c r="A9" s="3">
        <v>5</v>
      </c>
      <c r="B9" s="29">
        <v>42927</v>
      </c>
      <c r="C9" s="28" t="s">
        <v>23</v>
      </c>
      <c r="D9" s="28"/>
      <c r="E9" s="28"/>
      <c r="F9" s="28"/>
      <c r="G9" s="28"/>
      <c r="H9" s="28">
        <v>1</v>
      </c>
      <c r="I9" s="28"/>
      <c r="J9" s="33" t="s">
        <v>69</v>
      </c>
      <c r="K9" s="33" t="s">
        <v>69</v>
      </c>
      <c r="L9" s="28" t="s">
        <v>25</v>
      </c>
      <c r="M9" s="28" t="s">
        <v>25</v>
      </c>
      <c r="N9" s="28" t="s">
        <v>25</v>
      </c>
      <c r="O9" s="28" t="s">
        <v>25</v>
      </c>
      <c r="P9" s="28" t="s">
        <v>25</v>
      </c>
      <c r="Q9" s="28" t="s">
        <v>34</v>
      </c>
      <c r="R9" s="28" t="s">
        <v>25</v>
      </c>
      <c r="S9" s="28" t="s">
        <v>25</v>
      </c>
      <c r="U9" s="141"/>
      <c r="V9" s="8" t="s">
        <v>7</v>
      </c>
      <c r="W9" s="15">
        <f>+COUNTIF(G5:G40,"1")</f>
        <v>4</v>
      </c>
    </row>
    <row r="10" spans="1:50" x14ac:dyDescent="0.25">
      <c r="A10" s="3">
        <v>6</v>
      </c>
      <c r="B10" s="29">
        <v>42926</v>
      </c>
      <c r="C10" s="28" t="s">
        <v>30</v>
      </c>
      <c r="D10" s="28">
        <v>1</v>
      </c>
      <c r="E10" s="28"/>
      <c r="F10" s="28"/>
      <c r="G10" s="28"/>
      <c r="H10" s="28"/>
      <c r="I10" s="28"/>
      <c r="J10" s="33" t="s">
        <v>69</v>
      </c>
      <c r="K10" s="33" t="s">
        <v>69</v>
      </c>
      <c r="L10" s="28" t="s">
        <v>25</v>
      </c>
      <c r="M10" s="28" t="s">
        <v>25</v>
      </c>
      <c r="N10" s="28" t="s">
        <v>25</v>
      </c>
      <c r="O10" s="28" t="s">
        <v>25</v>
      </c>
      <c r="P10" s="28" t="s">
        <v>25</v>
      </c>
      <c r="Q10" s="28" t="s">
        <v>34</v>
      </c>
      <c r="R10" s="28" t="s">
        <v>25</v>
      </c>
      <c r="S10" s="28" t="s">
        <v>25</v>
      </c>
      <c r="U10" s="141"/>
      <c r="V10" s="8" t="s">
        <v>8</v>
      </c>
      <c r="W10" s="15">
        <f>+COUNTIF(H5:H41,"1")</f>
        <v>7</v>
      </c>
    </row>
    <row r="11" spans="1:50" x14ac:dyDescent="0.25">
      <c r="A11" s="3">
        <v>7</v>
      </c>
      <c r="B11" s="29">
        <v>42926</v>
      </c>
      <c r="C11" s="28" t="s">
        <v>30</v>
      </c>
      <c r="D11" s="28"/>
      <c r="E11" s="28"/>
      <c r="F11" s="28"/>
      <c r="G11" s="28"/>
      <c r="H11" s="28"/>
      <c r="I11" s="20" t="s">
        <v>29</v>
      </c>
      <c r="J11" s="33" t="s">
        <v>69</v>
      </c>
      <c r="K11" s="33" t="s">
        <v>69</v>
      </c>
      <c r="L11" s="28" t="s">
        <v>20</v>
      </c>
      <c r="M11" s="28" t="s">
        <v>20</v>
      </c>
      <c r="N11" s="28" t="s">
        <v>25</v>
      </c>
      <c r="O11" s="28" t="s">
        <v>25</v>
      </c>
      <c r="P11" s="28" t="s">
        <v>20</v>
      </c>
      <c r="Q11" s="28" t="s">
        <v>27</v>
      </c>
      <c r="R11" s="28" t="s">
        <v>25</v>
      </c>
      <c r="S11" s="28" t="s">
        <v>25</v>
      </c>
      <c r="U11" s="141"/>
      <c r="V11" s="22" t="s">
        <v>9</v>
      </c>
      <c r="W11" s="23">
        <f>+COUNTIF(I5:I40,"1")</f>
        <v>15</v>
      </c>
    </row>
    <row r="12" spans="1:50" ht="15.75" thickBot="1" x14ac:dyDescent="0.3">
      <c r="A12" s="3">
        <v>8</v>
      </c>
      <c r="B12" s="29">
        <v>42926</v>
      </c>
      <c r="C12" s="28" t="s">
        <v>30</v>
      </c>
      <c r="D12" s="28"/>
      <c r="E12" s="28"/>
      <c r="F12" s="28"/>
      <c r="G12" s="28"/>
      <c r="H12" s="28"/>
      <c r="I12" s="28">
        <v>1</v>
      </c>
      <c r="J12" s="33" t="s">
        <v>69</v>
      </c>
      <c r="K12" s="33" t="s">
        <v>69</v>
      </c>
      <c r="L12" s="28" t="s">
        <v>20</v>
      </c>
      <c r="M12" s="28" t="s">
        <v>20</v>
      </c>
      <c r="N12" s="28" t="s">
        <v>20</v>
      </c>
      <c r="O12" s="28" t="s">
        <v>20</v>
      </c>
      <c r="P12" s="28" t="s">
        <v>25</v>
      </c>
      <c r="Q12" s="28" t="s">
        <v>27</v>
      </c>
      <c r="R12" s="28" t="s">
        <v>20</v>
      </c>
      <c r="S12" s="28" t="s">
        <v>20</v>
      </c>
      <c r="U12" s="155"/>
      <c r="V12" s="26" t="s">
        <v>29</v>
      </c>
      <c r="W12" s="16">
        <f>+COUNTIF(I5:I41,"Blanco")</f>
        <v>1</v>
      </c>
    </row>
    <row r="13" spans="1:50" x14ac:dyDescent="0.25">
      <c r="A13" s="3">
        <v>9</v>
      </c>
      <c r="B13" s="29">
        <v>42926</v>
      </c>
      <c r="C13" s="28" t="s">
        <v>30</v>
      </c>
      <c r="D13" s="28"/>
      <c r="E13" s="28"/>
      <c r="F13" s="28"/>
      <c r="G13" s="28"/>
      <c r="H13" s="28"/>
      <c r="I13" s="28">
        <v>1</v>
      </c>
      <c r="J13" s="33" t="s">
        <v>69</v>
      </c>
      <c r="K13" s="33" t="s">
        <v>69</v>
      </c>
      <c r="L13" s="28" t="s">
        <v>25</v>
      </c>
      <c r="M13" s="28" t="s">
        <v>20</v>
      </c>
      <c r="N13" s="28" t="s">
        <v>25</v>
      </c>
      <c r="O13" s="28" t="s">
        <v>25</v>
      </c>
      <c r="P13" s="28" t="s">
        <v>20</v>
      </c>
      <c r="Q13" s="28" t="s">
        <v>26</v>
      </c>
      <c r="R13" s="28" t="s">
        <v>20</v>
      </c>
      <c r="S13" s="28" t="s">
        <v>20</v>
      </c>
      <c r="U13" s="139" t="s">
        <v>35</v>
      </c>
      <c r="V13" s="24" t="s">
        <v>69</v>
      </c>
      <c r="W13" s="25">
        <f>+COUNTIF(K5:K41,"Yoro")</f>
        <v>15</v>
      </c>
    </row>
    <row r="14" spans="1:50" x14ac:dyDescent="0.25">
      <c r="A14" s="3">
        <v>10</v>
      </c>
      <c r="B14" s="29">
        <v>42927</v>
      </c>
      <c r="C14" s="28" t="s">
        <v>23</v>
      </c>
      <c r="D14" s="28"/>
      <c r="E14" s="28"/>
      <c r="F14" s="28"/>
      <c r="G14" s="28">
        <v>1</v>
      </c>
      <c r="H14" s="28"/>
      <c r="I14" s="28"/>
      <c r="J14" s="33" t="s">
        <v>69</v>
      </c>
      <c r="K14" s="33" t="s">
        <v>69</v>
      </c>
      <c r="L14" s="28" t="s">
        <v>20</v>
      </c>
      <c r="M14" s="28" t="s">
        <v>20</v>
      </c>
      <c r="N14" s="28" t="s">
        <v>25</v>
      </c>
      <c r="O14" s="28" t="s">
        <v>25</v>
      </c>
      <c r="P14" s="28" t="s">
        <v>25</v>
      </c>
      <c r="Q14" s="28" t="s">
        <v>34</v>
      </c>
      <c r="R14" s="28" t="s">
        <v>20</v>
      </c>
      <c r="S14" s="28" t="s">
        <v>20</v>
      </c>
      <c r="U14" s="109"/>
      <c r="V14" s="1" t="s">
        <v>70</v>
      </c>
      <c r="W14" s="15">
        <f>+COUNTIF(K5:K41,"Yorito")</f>
        <v>10</v>
      </c>
    </row>
    <row r="15" spans="1:50" ht="15.75" thickBot="1" x14ac:dyDescent="0.3">
      <c r="A15" s="3">
        <v>11</v>
      </c>
      <c r="B15" s="29">
        <v>42927</v>
      </c>
      <c r="C15" s="28" t="s">
        <v>23</v>
      </c>
      <c r="D15" s="28"/>
      <c r="E15" s="28"/>
      <c r="F15" s="28"/>
      <c r="G15" s="28"/>
      <c r="H15" s="28"/>
      <c r="I15" s="28">
        <v>1</v>
      </c>
      <c r="J15" s="33" t="s">
        <v>69</v>
      </c>
      <c r="K15" s="33" t="s">
        <v>69</v>
      </c>
      <c r="L15" s="28" t="s">
        <v>20</v>
      </c>
      <c r="M15" s="28" t="s">
        <v>20</v>
      </c>
      <c r="N15" s="28" t="s">
        <v>20</v>
      </c>
      <c r="O15" s="28" t="s">
        <v>25</v>
      </c>
      <c r="P15" s="28" t="s">
        <v>20</v>
      </c>
      <c r="Q15" s="28" t="s">
        <v>28</v>
      </c>
      <c r="R15" s="28" t="s">
        <v>20</v>
      </c>
      <c r="S15" s="28" t="s">
        <v>20</v>
      </c>
      <c r="U15" s="110"/>
      <c r="V15" s="27" t="s">
        <v>71</v>
      </c>
      <c r="W15" s="16">
        <f>+COUNTIF(K5:K41,"Morazan")</f>
        <v>10</v>
      </c>
    </row>
    <row r="16" spans="1:50" ht="15" customHeight="1" x14ac:dyDescent="0.25">
      <c r="A16" s="3">
        <v>12</v>
      </c>
      <c r="B16" s="29">
        <v>42927</v>
      </c>
      <c r="C16" s="28" t="s">
        <v>30</v>
      </c>
      <c r="D16" s="28"/>
      <c r="E16" s="28"/>
      <c r="F16" s="28"/>
      <c r="G16" s="28"/>
      <c r="H16" s="28">
        <v>1</v>
      </c>
      <c r="I16" s="28"/>
      <c r="J16" s="33" t="s">
        <v>69</v>
      </c>
      <c r="K16" s="33" t="s">
        <v>69</v>
      </c>
      <c r="L16" s="28" t="s">
        <v>20</v>
      </c>
      <c r="M16" s="28" t="s">
        <v>25</v>
      </c>
      <c r="N16" s="28" t="s">
        <v>25</v>
      </c>
      <c r="O16" s="28" t="s">
        <v>25</v>
      </c>
      <c r="P16" s="28" t="s">
        <v>25</v>
      </c>
      <c r="Q16" s="28" t="s">
        <v>27</v>
      </c>
      <c r="R16" s="28" t="s">
        <v>25</v>
      </c>
      <c r="S16" s="28" t="s">
        <v>25</v>
      </c>
      <c r="U16" s="137" t="s">
        <v>36</v>
      </c>
      <c r="V16" s="12" t="s">
        <v>20</v>
      </c>
      <c r="W16" s="14">
        <f>+COUNTIF(L5:L41,"Si")</f>
        <v>31</v>
      </c>
      <c r="X16" s="125" t="s">
        <v>118</v>
      </c>
      <c r="Y16" s="48" t="s">
        <v>114</v>
      </c>
      <c r="Z16" s="49">
        <f>COUNTIFS($C$5:$C$65,"M",$L$5:$L$65,"Si")</f>
        <v>17</v>
      </c>
      <c r="AA16" s="125" t="s">
        <v>117</v>
      </c>
      <c r="AB16" s="48" t="s">
        <v>114</v>
      </c>
      <c r="AC16" s="55">
        <f>COUNTIFS($C$5:$C$65,"M",$L$5:$L$65,"No")</f>
        <v>3</v>
      </c>
      <c r="AD16" s="125" t="s">
        <v>118</v>
      </c>
      <c r="AE16" s="48" t="s">
        <v>4</v>
      </c>
      <c r="AF16" s="48">
        <f>COUNTIFS($D$5:$D$65,"1",$L$5:$L$65,"Si")</f>
        <v>1</v>
      </c>
      <c r="AG16" s="48" t="s">
        <v>7</v>
      </c>
      <c r="AH16" s="48">
        <f>COUNTIFS($G$5:$G$65,"1",$L$5:$L$65,"Si")</f>
        <v>4</v>
      </c>
      <c r="AI16" s="48" t="s">
        <v>29</v>
      </c>
      <c r="AJ16" s="49">
        <f>COUNTIFS($I$5:$I$65,"Blanco",$L$5:$L$65,"Si")</f>
        <v>1</v>
      </c>
      <c r="AK16" s="50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x14ac:dyDescent="0.25">
      <c r="A17" s="3">
        <v>13</v>
      </c>
      <c r="B17" s="29">
        <v>42927</v>
      </c>
      <c r="C17" s="28" t="s">
        <v>23</v>
      </c>
      <c r="D17" s="28">
        <v>1</v>
      </c>
      <c r="E17" s="28"/>
      <c r="F17" s="28"/>
      <c r="G17" s="28"/>
      <c r="H17" s="28"/>
      <c r="I17" s="28"/>
      <c r="J17" s="33" t="s">
        <v>69</v>
      </c>
      <c r="K17" s="33" t="s">
        <v>69</v>
      </c>
      <c r="L17" s="28" t="s">
        <v>20</v>
      </c>
      <c r="M17" s="28" t="s">
        <v>20</v>
      </c>
      <c r="N17" s="28" t="s">
        <v>25</v>
      </c>
      <c r="O17" s="28" t="s">
        <v>20</v>
      </c>
      <c r="P17" s="28" t="s">
        <v>20</v>
      </c>
      <c r="Q17" s="28" t="s">
        <v>28</v>
      </c>
      <c r="R17" s="28" t="s">
        <v>25</v>
      </c>
      <c r="S17" s="28" t="s">
        <v>20</v>
      </c>
      <c r="U17" s="109"/>
      <c r="V17" s="9" t="s">
        <v>25</v>
      </c>
      <c r="W17" s="15">
        <f>+COUNTIF(L5:L41,"No")</f>
        <v>4</v>
      </c>
      <c r="X17" s="126"/>
      <c r="Y17" s="6" t="s">
        <v>115</v>
      </c>
      <c r="Z17" s="51">
        <f>COUNTIFS($C$5:$C$65,"F",$L$5:$L$65,"Si")</f>
        <v>12</v>
      </c>
      <c r="AA17" s="126"/>
      <c r="AB17" s="6" t="s">
        <v>115</v>
      </c>
      <c r="AC17" s="57">
        <f>COUNTIFS($C$5:$C$65,"F",$L$5:$L$65,"No")</f>
        <v>1</v>
      </c>
      <c r="AD17" s="126"/>
      <c r="AE17" s="6" t="s">
        <v>5</v>
      </c>
      <c r="AF17" s="6">
        <f>COUNTIFS($E$5:$E$65,"1",$L$5:$L$65,"Si")</f>
        <v>1</v>
      </c>
      <c r="AG17" s="39" t="s">
        <v>8</v>
      </c>
      <c r="AH17" s="6">
        <f>COUNTIFS($H$5:$H$65,"1",$L$5:$L$65,"Si")</f>
        <v>6</v>
      </c>
      <c r="AI17" s="6"/>
      <c r="AJ17" s="51"/>
      <c r="AK17" s="50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5.75" thickBot="1" x14ac:dyDescent="0.3">
      <c r="A18" s="3">
        <v>14</v>
      </c>
      <c r="B18" s="29">
        <v>42927</v>
      </c>
      <c r="C18" s="28" t="s">
        <v>30</v>
      </c>
      <c r="D18" s="28"/>
      <c r="E18" s="28"/>
      <c r="F18" s="28">
        <v>1</v>
      </c>
      <c r="G18" s="28"/>
      <c r="H18" s="28"/>
      <c r="I18" s="28"/>
      <c r="J18" s="33" t="s">
        <v>69</v>
      </c>
      <c r="K18" s="33" t="s">
        <v>69</v>
      </c>
      <c r="L18" s="28" t="s">
        <v>25</v>
      </c>
      <c r="M18" s="28" t="s">
        <v>20</v>
      </c>
      <c r="N18" s="28" t="s">
        <v>25</v>
      </c>
      <c r="O18" s="28" t="s">
        <v>25</v>
      </c>
      <c r="P18" s="28" t="s">
        <v>25</v>
      </c>
      <c r="Q18" s="28" t="s">
        <v>27</v>
      </c>
      <c r="R18" s="28" t="s">
        <v>25</v>
      </c>
      <c r="S18" s="28" t="s">
        <v>20</v>
      </c>
      <c r="U18" s="110"/>
      <c r="V18" s="13" t="s">
        <v>29</v>
      </c>
      <c r="W18" s="16">
        <f>+COUNTIF(L5:L41,"Blanco")</f>
        <v>0</v>
      </c>
      <c r="X18" s="127"/>
      <c r="Y18" s="26" t="s">
        <v>29</v>
      </c>
      <c r="Z18" s="52">
        <f>COUNTIFS($C$5:$C$65,"Blanco",$L$5:$L$65,"Si")</f>
        <v>2</v>
      </c>
      <c r="AA18" s="127"/>
      <c r="AB18" s="26" t="s">
        <v>29</v>
      </c>
      <c r="AC18" s="58">
        <f>COUNTIFS($C$5:$C$65,"Blanco",$L$5:$L$65,"No")</f>
        <v>0</v>
      </c>
      <c r="AD18" s="127"/>
      <c r="AE18" s="26" t="s">
        <v>6</v>
      </c>
      <c r="AF18" s="26">
        <f>COUNTIFS($F$5:$F$65,"1",$L$5:$L$65,"Si")</f>
        <v>4</v>
      </c>
      <c r="AG18" s="26" t="s">
        <v>9</v>
      </c>
      <c r="AH18" s="26">
        <f>COUNTIFS($I$5:$I$65,"1",$L$5:$L$65,"Si")</f>
        <v>14</v>
      </c>
      <c r="AI18" s="26"/>
      <c r="AJ18" s="52"/>
      <c r="AK18" s="50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x14ac:dyDescent="0.25">
      <c r="A19" s="3">
        <v>15</v>
      </c>
      <c r="B19" s="29">
        <v>42927</v>
      </c>
      <c r="C19" s="28" t="s">
        <v>23</v>
      </c>
      <c r="D19" s="28"/>
      <c r="E19" s="28"/>
      <c r="F19" s="28"/>
      <c r="G19" s="28"/>
      <c r="H19" s="28">
        <v>1</v>
      </c>
      <c r="I19" s="28"/>
      <c r="J19" s="33" t="s">
        <v>69</v>
      </c>
      <c r="K19" s="33" t="s">
        <v>69</v>
      </c>
      <c r="L19" s="28" t="s">
        <v>20</v>
      </c>
      <c r="M19" s="28" t="s">
        <v>20</v>
      </c>
      <c r="N19" s="28" t="s">
        <v>25</v>
      </c>
      <c r="O19" s="28" t="s">
        <v>25</v>
      </c>
      <c r="P19" s="28" t="s">
        <v>25</v>
      </c>
      <c r="Q19" s="28" t="s">
        <v>28</v>
      </c>
      <c r="R19" s="28" t="s">
        <v>20</v>
      </c>
      <c r="S19" s="28" t="s">
        <v>20</v>
      </c>
      <c r="U19" s="137" t="s">
        <v>37</v>
      </c>
      <c r="V19" s="12" t="s">
        <v>20</v>
      </c>
      <c r="W19" s="14">
        <f>+COUNTIF(M5:M41,"Si")</f>
        <v>27</v>
      </c>
      <c r="X19" s="125" t="s">
        <v>118</v>
      </c>
      <c r="Y19" s="48" t="s">
        <v>114</v>
      </c>
      <c r="Z19" s="49">
        <f>COUNTIFS($C$5:$C$65,"M",$M$5:$M$65,"Si")</f>
        <v>17</v>
      </c>
      <c r="AA19" s="125" t="s">
        <v>117</v>
      </c>
      <c r="AB19" s="48" t="s">
        <v>114</v>
      </c>
      <c r="AC19" s="55">
        <f>COUNTIFS($C$5:$C$65,"M",$M$5:$M$65,"No")</f>
        <v>2</v>
      </c>
      <c r="AD19" s="132" t="s">
        <v>118</v>
      </c>
      <c r="AE19" s="61" t="s">
        <v>4</v>
      </c>
      <c r="AF19" s="48">
        <f>COUNTIFS($D$5:$D$65,"1",$M$5:$M$65,"Si")</f>
        <v>1</v>
      </c>
      <c r="AG19" s="61" t="s">
        <v>7</v>
      </c>
      <c r="AH19" s="48">
        <f>COUNTIFS($G$5:$G$65,"1",$M$5:$M$65,"Si")</f>
        <v>3</v>
      </c>
      <c r="AI19" s="61" t="s">
        <v>29</v>
      </c>
      <c r="AJ19" s="49">
        <f>COUNTIFS($I$5:$I$65,"Blanco",$M$5:$M$65,"Si")</f>
        <v>1</v>
      </c>
      <c r="AK19" s="50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x14ac:dyDescent="0.25">
      <c r="A20" s="3">
        <v>16</v>
      </c>
      <c r="B20" s="29">
        <v>42929</v>
      </c>
      <c r="C20" s="28" t="s">
        <v>30</v>
      </c>
      <c r="D20" s="28"/>
      <c r="E20" s="28"/>
      <c r="F20" s="28"/>
      <c r="G20" s="28">
        <v>1</v>
      </c>
      <c r="H20" s="28"/>
      <c r="I20" s="28"/>
      <c r="J20" s="33" t="s">
        <v>69</v>
      </c>
      <c r="K20" s="28" t="s">
        <v>70</v>
      </c>
      <c r="L20" s="28" t="s">
        <v>20</v>
      </c>
      <c r="M20" s="28" t="s">
        <v>20</v>
      </c>
      <c r="N20" s="28" t="s">
        <v>20</v>
      </c>
      <c r="O20" s="28" t="s">
        <v>20</v>
      </c>
      <c r="P20" s="28" t="s">
        <v>25</v>
      </c>
      <c r="Q20" s="28" t="s">
        <v>26</v>
      </c>
      <c r="R20" s="28" t="s">
        <v>20</v>
      </c>
      <c r="S20" s="28" t="s">
        <v>25</v>
      </c>
      <c r="U20" s="109"/>
      <c r="V20" s="9" t="s">
        <v>25</v>
      </c>
      <c r="W20" s="15">
        <f>+COUNTIF(M5:M41,"No")</f>
        <v>7</v>
      </c>
      <c r="X20" s="126"/>
      <c r="Y20" s="6" t="s">
        <v>115</v>
      </c>
      <c r="Z20" s="51">
        <f>COUNTIFS($C$5:$C$65,"F",$M$5:$M$65,"Si")</f>
        <v>10</v>
      </c>
      <c r="AA20" s="126"/>
      <c r="AB20" s="6" t="s">
        <v>115</v>
      </c>
      <c r="AC20" s="57">
        <f>COUNTIFS($C$5:$C$65,"F",$M$5:$M$65,"No")</f>
        <v>3</v>
      </c>
      <c r="AD20" s="126"/>
      <c r="AE20" s="6" t="s">
        <v>5</v>
      </c>
      <c r="AF20" s="6">
        <f>COUNTIFS($E$5:$E$65,"1",$M$5:$M$65,"Si")</f>
        <v>1</v>
      </c>
      <c r="AG20" s="39" t="s">
        <v>8</v>
      </c>
      <c r="AH20" s="6">
        <f>COUNTIFS($H$5:$H$65,"1",$M$5:$M$65,"Si")</f>
        <v>5</v>
      </c>
      <c r="AI20" s="6"/>
      <c r="AJ20" s="51"/>
      <c r="AK20" s="50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5.75" thickBot="1" x14ac:dyDescent="0.3">
      <c r="A21" s="3">
        <v>17</v>
      </c>
      <c r="B21" s="29">
        <v>42929</v>
      </c>
      <c r="C21" s="28" t="s">
        <v>30</v>
      </c>
      <c r="D21" s="28"/>
      <c r="E21" s="28"/>
      <c r="F21" s="28"/>
      <c r="G21" s="28"/>
      <c r="H21" s="28"/>
      <c r="I21" s="28">
        <v>1</v>
      </c>
      <c r="J21" s="33" t="s">
        <v>69</v>
      </c>
      <c r="K21" s="28" t="s">
        <v>70</v>
      </c>
      <c r="L21" s="28" t="s">
        <v>20</v>
      </c>
      <c r="M21" s="20" t="s">
        <v>29</v>
      </c>
      <c r="N21" s="28" t="s">
        <v>25</v>
      </c>
      <c r="O21" s="28" t="s">
        <v>25</v>
      </c>
      <c r="P21" s="28" t="s">
        <v>25</v>
      </c>
      <c r="Q21" s="28" t="s">
        <v>27</v>
      </c>
      <c r="R21" s="28" t="s">
        <v>25</v>
      </c>
      <c r="S21" s="28" t="s">
        <v>25</v>
      </c>
      <c r="U21" s="110"/>
      <c r="V21" s="13" t="s">
        <v>29</v>
      </c>
      <c r="W21" s="16">
        <f>+COUNTIF(M5:M41,"Blanco")</f>
        <v>1</v>
      </c>
      <c r="X21" s="127"/>
      <c r="Y21" s="26" t="s">
        <v>29</v>
      </c>
      <c r="Z21" s="52">
        <f>COUNTIFS($C$5:$C$65,"Blanco",$M$5:$M$65,"Si")</f>
        <v>0</v>
      </c>
      <c r="AA21" s="127"/>
      <c r="AB21" s="26" t="s">
        <v>29</v>
      </c>
      <c r="AC21" s="58">
        <f>COUNTIFS($C$5:$C$65,"Blanco",$M$5:$M$65,"No")</f>
        <v>2</v>
      </c>
      <c r="AD21" s="127"/>
      <c r="AE21" s="26" t="s">
        <v>6</v>
      </c>
      <c r="AF21" s="26">
        <f>COUNTIFS($F$5:$F$65,"1",$M$5:$M$65,"Si")</f>
        <v>4</v>
      </c>
      <c r="AG21" s="26" t="s">
        <v>9</v>
      </c>
      <c r="AH21" s="26">
        <f>COUNTIFS($I$5:$I$65,"1",$M$5:$M$65,"Si")</f>
        <v>12</v>
      </c>
      <c r="AI21" s="26"/>
      <c r="AJ21" s="52"/>
      <c r="AK21" s="50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x14ac:dyDescent="0.25">
      <c r="A22" s="3">
        <v>18</v>
      </c>
      <c r="B22" s="29">
        <v>42929</v>
      </c>
      <c r="C22" s="20" t="s">
        <v>29</v>
      </c>
      <c r="D22" s="28"/>
      <c r="E22" s="28"/>
      <c r="F22" s="28">
        <v>1</v>
      </c>
      <c r="G22" s="28"/>
      <c r="H22" s="28"/>
      <c r="I22" s="28"/>
      <c r="J22" s="33" t="s">
        <v>69</v>
      </c>
      <c r="K22" s="28" t="s">
        <v>70</v>
      </c>
      <c r="L22" s="28" t="s">
        <v>20</v>
      </c>
      <c r="M22" s="28" t="s">
        <v>25</v>
      </c>
      <c r="N22" s="28" t="s">
        <v>20</v>
      </c>
      <c r="O22" s="28" t="s">
        <v>25</v>
      </c>
      <c r="P22" s="28" t="s">
        <v>25</v>
      </c>
      <c r="Q22" s="28" t="s">
        <v>27</v>
      </c>
      <c r="R22" s="28" t="s">
        <v>25</v>
      </c>
      <c r="S22" s="28" t="s">
        <v>25</v>
      </c>
      <c r="U22" s="137" t="s">
        <v>38</v>
      </c>
      <c r="V22" s="12" t="s">
        <v>20</v>
      </c>
      <c r="W22" s="14">
        <f>+COUNTIF(N5:N41,"Si")</f>
        <v>11</v>
      </c>
      <c r="X22" s="125" t="s">
        <v>118</v>
      </c>
      <c r="Y22" s="48" t="s">
        <v>114</v>
      </c>
      <c r="Z22" s="49">
        <f>COUNTIFS($C$5:$C$65,"M",$N$5:$N$65,"Si")</f>
        <v>7</v>
      </c>
      <c r="AA22" s="125" t="s">
        <v>117</v>
      </c>
      <c r="AB22" s="48" t="s">
        <v>114</v>
      </c>
      <c r="AC22" s="55">
        <f>COUNTIFS($C$5:$C$65,"M",$N$5:$N$65,"No")</f>
        <v>13</v>
      </c>
      <c r="AD22" s="125" t="s">
        <v>117</v>
      </c>
      <c r="AE22" s="48" t="s">
        <v>4</v>
      </c>
      <c r="AF22" s="48">
        <f>COUNTIFS($D$5:$D$65,"1",$N$5:$N$65,"No")</f>
        <v>2</v>
      </c>
      <c r="AG22" s="48" t="s">
        <v>7</v>
      </c>
      <c r="AH22" s="48">
        <f>COUNTIFS($G$5:$G$65,"1",$N$5:$N$65,"No")</f>
        <v>3</v>
      </c>
      <c r="AI22" s="48" t="s">
        <v>29</v>
      </c>
      <c r="AJ22" s="49">
        <f>COUNTIFS($I$5:$I$65,"Blanco",$N$5:$N$65,"No")</f>
        <v>1</v>
      </c>
      <c r="AK22" s="50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x14ac:dyDescent="0.25">
      <c r="A23" s="3">
        <v>19</v>
      </c>
      <c r="B23" s="29">
        <v>42929</v>
      </c>
      <c r="C23" s="28" t="s">
        <v>23</v>
      </c>
      <c r="D23" s="28"/>
      <c r="E23" s="28"/>
      <c r="F23" s="28"/>
      <c r="G23" s="28">
        <v>1</v>
      </c>
      <c r="H23" s="28"/>
      <c r="I23" s="28"/>
      <c r="J23" s="33" t="s">
        <v>69</v>
      </c>
      <c r="K23" s="28" t="s">
        <v>70</v>
      </c>
      <c r="L23" s="28" t="s">
        <v>20</v>
      </c>
      <c r="M23" s="28" t="s">
        <v>25</v>
      </c>
      <c r="N23" s="28" t="s">
        <v>25</v>
      </c>
      <c r="O23" s="28" t="s">
        <v>25</v>
      </c>
      <c r="P23" s="28" t="s">
        <v>25</v>
      </c>
      <c r="Q23" s="28" t="s">
        <v>26</v>
      </c>
      <c r="R23" s="28" t="s">
        <v>25</v>
      </c>
      <c r="S23" s="28" t="s">
        <v>25</v>
      </c>
      <c r="U23" s="109"/>
      <c r="V23" s="9" t="s">
        <v>25</v>
      </c>
      <c r="W23" s="15">
        <f>+COUNTIF(N5:N41,"No")</f>
        <v>24</v>
      </c>
      <c r="X23" s="126"/>
      <c r="Y23" s="6" t="s">
        <v>115</v>
      </c>
      <c r="Z23" s="51">
        <f>COUNTIFS($C$5:$C$65,"F",$N$5:$N$65,"Si")</f>
        <v>3</v>
      </c>
      <c r="AA23" s="126"/>
      <c r="AB23" s="6" t="s">
        <v>115</v>
      </c>
      <c r="AC23" s="57">
        <f>COUNTIFS($C$5:$C$65,"F",$N$5:$N$65,"No")</f>
        <v>10</v>
      </c>
      <c r="AD23" s="126"/>
      <c r="AE23" s="6" t="s">
        <v>5</v>
      </c>
      <c r="AF23" s="6">
        <f>COUNTIFS($E$5:$E$65,"1",$N$5:$N$65,"No")</f>
        <v>1</v>
      </c>
      <c r="AG23" s="39" t="s">
        <v>8</v>
      </c>
      <c r="AH23" s="6">
        <f>COUNTIFS($H$5:$H$65,"1",$N$5:$N$65,"No")</f>
        <v>5</v>
      </c>
      <c r="AI23" s="6"/>
      <c r="AJ23" s="51"/>
      <c r="AK23" s="50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5.75" thickBot="1" x14ac:dyDescent="0.3">
      <c r="A24" s="3">
        <v>20</v>
      </c>
      <c r="B24" s="29">
        <v>42929</v>
      </c>
      <c r="C24" s="28" t="s">
        <v>23</v>
      </c>
      <c r="D24" s="28"/>
      <c r="E24" s="28"/>
      <c r="F24" s="28">
        <v>1</v>
      </c>
      <c r="G24" s="28"/>
      <c r="H24" s="28"/>
      <c r="I24" s="28"/>
      <c r="J24" s="33" t="s">
        <v>69</v>
      </c>
      <c r="K24" s="28" t="s">
        <v>70</v>
      </c>
      <c r="L24" s="28" t="s">
        <v>20</v>
      </c>
      <c r="M24" s="28" t="s">
        <v>20</v>
      </c>
      <c r="N24" s="28" t="s">
        <v>25</v>
      </c>
      <c r="O24" s="28" t="s">
        <v>25</v>
      </c>
      <c r="P24" s="28" t="s">
        <v>25</v>
      </c>
      <c r="Q24" s="28" t="s">
        <v>26</v>
      </c>
      <c r="R24" s="28" t="s">
        <v>31</v>
      </c>
      <c r="S24" s="28" t="s">
        <v>20</v>
      </c>
      <c r="U24" s="110"/>
      <c r="V24" s="13" t="s">
        <v>29</v>
      </c>
      <c r="W24" s="16">
        <f>+COUNTIF(N5:N41,"Blanco")</f>
        <v>0</v>
      </c>
      <c r="X24" s="127"/>
      <c r="Y24" s="26" t="s">
        <v>29</v>
      </c>
      <c r="Z24" s="52">
        <f>COUNTIFS($C$5:$C$65,"Blanco",$N$5:$N$65,"Si")</f>
        <v>1</v>
      </c>
      <c r="AA24" s="127"/>
      <c r="AB24" s="26" t="s">
        <v>29</v>
      </c>
      <c r="AC24" s="58">
        <f>COUNTIFS($C$5:$C$65,"Blanco",$N$5:$N$65,"No")</f>
        <v>1</v>
      </c>
      <c r="AD24" s="127"/>
      <c r="AE24" s="26" t="s">
        <v>6</v>
      </c>
      <c r="AF24" s="26">
        <f>COUNTIFS($F$5:$F$65,"1",$N$5:$N$65,"No")</f>
        <v>3</v>
      </c>
      <c r="AG24" s="26" t="s">
        <v>9</v>
      </c>
      <c r="AH24" s="26">
        <f>COUNTIFS($I$5:$I$65,"1",$N$5:$N$65,"No")</f>
        <v>9</v>
      </c>
      <c r="AI24" s="26"/>
      <c r="AJ24" s="52"/>
      <c r="AK24" s="50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x14ac:dyDescent="0.25">
      <c r="A25" s="3">
        <v>21</v>
      </c>
      <c r="B25" s="29">
        <v>42929</v>
      </c>
      <c r="C25" s="28" t="s">
        <v>23</v>
      </c>
      <c r="D25" s="28"/>
      <c r="E25" s="28"/>
      <c r="F25" s="28"/>
      <c r="G25" s="28"/>
      <c r="H25" s="28">
        <v>1</v>
      </c>
      <c r="I25" s="28"/>
      <c r="J25" s="33" t="s">
        <v>69</v>
      </c>
      <c r="K25" s="28" t="s">
        <v>70</v>
      </c>
      <c r="L25" s="28" t="s">
        <v>20</v>
      </c>
      <c r="M25" s="28" t="s">
        <v>20</v>
      </c>
      <c r="N25" s="28" t="s">
        <v>25</v>
      </c>
      <c r="O25" s="28" t="s">
        <v>20</v>
      </c>
      <c r="P25" s="28" t="s">
        <v>25</v>
      </c>
      <c r="Q25" s="28" t="s">
        <v>27</v>
      </c>
      <c r="R25" s="28" t="s">
        <v>20</v>
      </c>
      <c r="S25" s="28" t="s">
        <v>20</v>
      </c>
      <c r="U25" s="137" t="s">
        <v>39</v>
      </c>
      <c r="V25" s="12" t="s">
        <v>20</v>
      </c>
      <c r="W25" s="14">
        <f>+COUNTIF(O5:O41,"Si")</f>
        <v>10</v>
      </c>
      <c r="X25" s="125" t="s">
        <v>118</v>
      </c>
      <c r="Y25" s="48" t="s">
        <v>114</v>
      </c>
      <c r="Z25" s="49">
        <f>COUNTIFS($C$5:$C$65,"M",$O$5:O65,"Si")</f>
        <v>6</v>
      </c>
      <c r="AA25" s="128" t="s">
        <v>117</v>
      </c>
      <c r="AB25" s="19" t="s">
        <v>114</v>
      </c>
      <c r="AC25" s="65">
        <f>COUNTIFS($C$5:$C$65,"M",$O$5:$O$65,"No")</f>
        <v>14</v>
      </c>
      <c r="AD25" s="128" t="s">
        <v>117</v>
      </c>
      <c r="AE25" s="19" t="s">
        <v>4</v>
      </c>
      <c r="AF25" s="19">
        <f>COUNTIFS($D$5:$D$65,"1",$O$5:$O$65,"No")</f>
        <v>1</v>
      </c>
      <c r="AG25" s="19" t="s">
        <v>7</v>
      </c>
      <c r="AH25" s="19">
        <f>COUNTIFS($G$5:$G$65,"1",$O$5:$O$65,"No")</f>
        <v>3</v>
      </c>
      <c r="AI25" s="19" t="s">
        <v>29</v>
      </c>
      <c r="AJ25" s="66">
        <f>COUNTIFS($I$5:$I$65,"Blanco",$O$5:$O$65,"No")</f>
        <v>1</v>
      </c>
      <c r="AK25" s="50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x14ac:dyDescent="0.25">
      <c r="A26" s="3">
        <v>22</v>
      </c>
      <c r="B26" s="29">
        <v>42929</v>
      </c>
      <c r="C26" s="20" t="s">
        <v>29</v>
      </c>
      <c r="D26" s="28"/>
      <c r="E26" s="28"/>
      <c r="F26" s="28"/>
      <c r="G26" s="28"/>
      <c r="H26" s="28"/>
      <c r="I26" s="28">
        <v>1</v>
      </c>
      <c r="J26" s="33" t="s">
        <v>69</v>
      </c>
      <c r="K26" s="28" t="s">
        <v>70</v>
      </c>
      <c r="L26" s="28" t="s">
        <v>20</v>
      </c>
      <c r="M26" s="28" t="s">
        <v>25</v>
      </c>
      <c r="N26" s="28" t="s">
        <v>25</v>
      </c>
      <c r="O26" s="28" t="s">
        <v>25</v>
      </c>
      <c r="P26" s="28" t="s">
        <v>20</v>
      </c>
      <c r="Q26" s="28" t="s">
        <v>27</v>
      </c>
      <c r="R26" s="28" t="s">
        <v>20</v>
      </c>
      <c r="S26" s="28" t="s">
        <v>20</v>
      </c>
      <c r="U26" s="109"/>
      <c r="V26" s="9" t="s">
        <v>25</v>
      </c>
      <c r="W26" s="15">
        <f>+COUNTIF(O5:O41,"No")</f>
        <v>25</v>
      </c>
      <c r="X26" s="126"/>
      <c r="Y26" s="6" t="s">
        <v>115</v>
      </c>
      <c r="Z26" s="51">
        <f>COUNTIFS($C$5:$C$65,"F",$O$5:$O$65,"Si")</f>
        <v>4</v>
      </c>
      <c r="AA26" s="129"/>
      <c r="AB26" s="35" t="s">
        <v>115</v>
      </c>
      <c r="AC26" s="67">
        <f>COUNTIFS($C$2:$C$65,"F",$O$2:$O$65,"No")</f>
        <v>9</v>
      </c>
      <c r="AD26" s="129"/>
      <c r="AE26" s="35" t="s">
        <v>5</v>
      </c>
      <c r="AF26" s="35">
        <f>COUNTIFS($E$5:$E$65,"1",$O$5:$O$65,"No")</f>
        <v>1</v>
      </c>
      <c r="AG26" s="9" t="s">
        <v>8</v>
      </c>
      <c r="AH26" s="35">
        <f>COUNTIFS($H$5:$H$65,"1",$O$5:$O$65,"No")</f>
        <v>4</v>
      </c>
      <c r="AI26" s="35"/>
      <c r="AJ26" s="68"/>
      <c r="AK26" s="50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5.75" thickBot="1" x14ac:dyDescent="0.3">
      <c r="A27" s="3">
        <v>23</v>
      </c>
      <c r="B27" s="29">
        <v>42929</v>
      </c>
      <c r="C27" s="28" t="s">
        <v>30</v>
      </c>
      <c r="D27" s="28"/>
      <c r="E27" s="28"/>
      <c r="F27" s="28"/>
      <c r="G27" s="28"/>
      <c r="H27" s="28"/>
      <c r="I27" s="28">
        <v>1</v>
      </c>
      <c r="J27" s="33" t="s">
        <v>69</v>
      </c>
      <c r="K27" s="28" t="s">
        <v>70</v>
      </c>
      <c r="L27" s="28" t="s">
        <v>20</v>
      </c>
      <c r="M27" s="28" t="s">
        <v>20</v>
      </c>
      <c r="N27" s="28" t="s">
        <v>20</v>
      </c>
      <c r="O27" s="28" t="s">
        <v>20</v>
      </c>
      <c r="P27" s="28" t="s">
        <v>25</v>
      </c>
      <c r="Q27" s="28" t="s">
        <v>27</v>
      </c>
      <c r="R27" s="28" t="s">
        <v>20</v>
      </c>
      <c r="S27" s="28" t="s">
        <v>20</v>
      </c>
      <c r="U27" s="110"/>
      <c r="V27" s="13" t="s">
        <v>29</v>
      </c>
      <c r="W27" s="16">
        <f>+COUNTIF(O5:O41,"Blanco")</f>
        <v>0</v>
      </c>
      <c r="X27" s="127"/>
      <c r="Y27" s="26" t="s">
        <v>29</v>
      </c>
      <c r="Z27" s="52">
        <f>COUNTIFS($C$5:$C$65,"Blanco",$O$5:$O$65,"Si")</f>
        <v>0</v>
      </c>
      <c r="AA27" s="130"/>
      <c r="AB27" s="27" t="s">
        <v>29</v>
      </c>
      <c r="AC27" s="69">
        <f>COUNTIFS($C$2:$C$65,"Blanco",$O$2:$O$65,"No")</f>
        <v>2</v>
      </c>
      <c r="AD27" s="130"/>
      <c r="AE27" s="27" t="s">
        <v>6</v>
      </c>
      <c r="AF27" s="27">
        <f>COUNTIFS($F$5:$F$65,"1",$O$5:$O$65,"No")</f>
        <v>4</v>
      </c>
      <c r="AG27" s="27" t="s">
        <v>9</v>
      </c>
      <c r="AH27" s="27">
        <f>COUNTIFS($I$5:$I$65,"1",$O$5:$O$65,"No")</f>
        <v>11</v>
      </c>
      <c r="AI27" s="27"/>
      <c r="AJ27" s="70"/>
      <c r="AK27" s="50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x14ac:dyDescent="0.25">
      <c r="A28" s="3">
        <v>24</v>
      </c>
      <c r="B28" s="29">
        <v>42929</v>
      </c>
      <c r="C28" s="28" t="s">
        <v>30</v>
      </c>
      <c r="D28" s="28"/>
      <c r="E28" s="28">
        <v>1</v>
      </c>
      <c r="F28" s="28"/>
      <c r="G28" s="28"/>
      <c r="H28" s="28"/>
      <c r="I28" s="28"/>
      <c r="J28" s="33" t="s">
        <v>69</v>
      </c>
      <c r="K28" s="28" t="s">
        <v>70</v>
      </c>
      <c r="L28" s="28" t="s">
        <v>20</v>
      </c>
      <c r="M28" s="28" t="s">
        <v>20</v>
      </c>
      <c r="N28" s="28" t="s">
        <v>25</v>
      </c>
      <c r="O28" s="28" t="s">
        <v>25</v>
      </c>
      <c r="P28" s="28" t="s">
        <v>25</v>
      </c>
      <c r="Q28" s="28" t="s">
        <v>27</v>
      </c>
      <c r="R28" s="28" t="s">
        <v>20</v>
      </c>
      <c r="S28" s="28" t="s">
        <v>20</v>
      </c>
      <c r="U28" s="137" t="s">
        <v>40</v>
      </c>
      <c r="V28" s="12" t="s">
        <v>20</v>
      </c>
      <c r="W28" s="14">
        <f>+COUNTIF(P5:P41,"Si")</f>
        <v>8</v>
      </c>
      <c r="X28" s="125" t="s">
        <v>118</v>
      </c>
      <c r="Y28" s="48" t="s">
        <v>114</v>
      </c>
      <c r="Z28" s="49">
        <f>COUNTIFS($C$5:$C$65,"M",$P$5:$P$65,"Si")</f>
        <v>4</v>
      </c>
      <c r="AA28" s="128" t="s">
        <v>117</v>
      </c>
      <c r="AB28" s="19" t="s">
        <v>114</v>
      </c>
      <c r="AC28" s="65">
        <f>COUNTIFS($C$5:$C$65,"M",$P$5:$P$65,"No")</f>
        <v>16</v>
      </c>
      <c r="AD28" s="128" t="s">
        <v>117</v>
      </c>
      <c r="AE28" s="19" t="s">
        <v>4</v>
      </c>
      <c r="AF28" s="19">
        <f>COUNTIFS($D$5:$D$65,"1",$P$5:$P$65,"No")</f>
        <v>1</v>
      </c>
      <c r="AG28" s="19" t="s">
        <v>7</v>
      </c>
      <c r="AH28" s="19">
        <f>COUNTIFS($G$5:$G$65,"1",$P$5:$P$65,"No")</f>
        <v>4</v>
      </c>
      <c r="AI28" s="19" t="s">
        <v>29</v>
      </c>
      <c r="AJ28" s="66">
        <f>COUNTIFS($I$5:$I$65,"Blanco",$P$5:$P$65,"No")</f>
        <v>0</v>
      </c>
      <c r="AK28" s="50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x14ac:dyDescent="0.25">
      <c r="A29" s="3">
        <v>25</v>
      </c>
      <c r="B29" s="29">
        <v>42929</v>
      </c>
      <c r="C29" s="28" t="s">
        <v>23</v>
      </c>
      <c r="D29" s="28"/>
      <c r="E29" s="28"/>
      <c r="F29" s="28"/>
      <c r="G29" s="28"/>
      <c r="H29" s="28"/>
      <c r="I29" s="28">
        <v>1</v>
      </c>
      <c r="J29" s="33" t="s">
        <v>69</v>
      </c>
      <c r="K29" s="28" t="s">
        <v>70</v>
      </c>
      <c r="L29" s="28" t="s">
        <v>20</v>
      </c>
      <c r="M29" s="28" t="s">
        <v>20</v>
      </c>
      <c r="N29" s="28" t="s">
        <v>25</v>
      </c>
      <c r="O29" s="28" t="s">
        <v>20</v>
      </c>
      <c r="P29" s="28" t="s">
        <v>20</v>
      </c>
      <c r="Q29" s="28" t="s">
        <v>27</v>
      </c>
      <c r="R29" s="28" t="s">
        <v>20</v>
      </c>
      <c r="S29" s="28" t="s">
        <v>20</v>
      </c>
      <c r="U29" s="109"/>
      <c r="V29" s="9" t="s">
        <v>25</v>
      </c>
      <c r="W29" s="15">
        <f>+COUNTIF(P5:P41,"No")</f>
        <v>27</v>
      </c>
      <c r="X29" s="126"/>
      <c r="Y29" s="6" t="s">
        <v>115</v>
      </c>
      <c r="Z29" s="51">
        <f>COUNTIFS($C$5:$C$65,"F",$P$5:$P$65,"Si")</f>
        <v>3</v>
      </c>
      <c r="AA29" s="129"/>
      <c r="AB29" s="35" t="s">
        <v>115</v>
      </c>
      <c r="AC29" s="67">
        <f>COUNTIFS($C$5:$C$65,"F",$P$5:$P$65,"NO")</f>
        <v>10</v>
      </c>
      <c r="AD29" s="129"/>
      <c r="AE29" s="35" t="s">
        <v>5</v>
      </c>
      <c r="AF29" s="35">
        <f>COUNTIFS($E$5:$E$65,"1",$P$5:$P$65,"No")</f>
        <v>1</v>
      </c>
      <c r="AG29" s="9" t="s">
        <v>8</v>
      </c>
      <c r="AH29" s="35">
        <f>COUNTIFS($H$5:$H$65,"1",$P$5:$P$65,"No")</f>
        <v>7</v>
      </c>
      <c r="AI29" s="35"/>
      <c r="AJ29" s="68"/>
      <c r="AK29" s="50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5.75" thickBot="1" x14ac:dyDescent="0.3">
      <c r="A30" s="3">
        <v>26</v>
      </c>
      <c r="B30" s="29">
        <v>42930</v>
      </c>
      <c r="C30" s="28" t="s">
        <v>30</v>
      </c>
      <c r="D30" s="28"/>
      <c r="E30" s="28"/>
      <c r="F30" s="28"/>
      <c r="G30" s="28"/>
      <c r="H30" s="28"/>
      <c r="I30" s="28">
        <v>1</v>
      </c>
      <c r="J30" s="33" t="s">
        <v>69</v>
      </c>
      <c r="K30" s="28" t="s">
        <v>71</v>
      </c>
      <c r="L30" s="28" t="s">
        <v>20</v>
      </c>
      <c r="M30" s="28" t="s">
        <v>20</v>
      </c>
      <c r="N30" s="28" t="s">
        <v>25</v>
      </c>
      <c r="O30" s="28" t="s">
        <v>25</v>
      </c>
      <c r="P30" s="28" t="s">
        <v>25</v>
      </c>
      <c r="Q30" s="28" t="s">
        <v>27</v>
      </c>
      <c r="R30" s="28" t="s">
        <v>25</v>
      </c>
      <c r="S30" s="28" t="s">
        <v>20</v>
      </c>
      <c r="U30" s="110"/>
      <c r="V30" s="13" t="s">
        <v>29</v>
      </c>
      <c r="W30" s="16">
        <f>+COUNTIF(P5:P41,"Blanco")</f>
        <v>0</v>
      </c>
      <c r="X30" s="154"/>
      <c r="Y30" s="34" t="s">
        <v>29</v>
      </c>
      <c r="Z30" s="53">
        <f>COUNTIFS($C$5:$C$65,"Blanco",$P$5:$P$65,"Si")</f>
        <v>1</v>
      </c>
      <c r="AA30" s="153"/>
      <c r="AB30" s="71" t="s">
        <v>29</v>
      </c>
      <c r="AC30" s="72">
        <f>COUNTIFS($C$5:$C$65,"Blanco",$P$5:$P$65,"No")</f>
        <v>1</v>
      </c>
      <c r="AD30" s="130"/>
      <c r="AE30" s="27" t="s">
        <v>6</v>
      </c>
      <c r="AF30" s="27">
        <f>COUNTIFS($F$5:$F$65,"1",$P$5:$P$65,"No")</f>
        <v>5</v>
      </c>
      <c r="AG30" s="71" t="s">
        <v>9</v>
      </c>
      <c r="AH30" s="71">
        <f>COUNTIFS($I$5:$I$65,"1",$P$5:$P$65,"No")</f>
        <v>9</v>
      </c>
      <c r="AI30" s="71"/>
      <c r="AJ30" s="73"/>
      <c r="AK30" s="5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</row>
    <row r="31" spans="1:50" x14ac:dyDescent="0.25">
      <c r="A31" s="3">
        <v>27</v>
      </c>
      <c r="B31" s="29">
        <v>42930</v>
      </c>
      <c r="C31" s="28" t="s">
        <v>23</v>
      </c>
      <c r="D31" s="28"/>
      <c r="E31" s="28"/>
      <c r="F31" s="28"/>
      <c r="G31" s="28"/>
      <c r="H31" s="28"/>
      <c r="I31" s="28">
        <v>1</v>
      </c>
      <c r="J31" s="33" t="s">
        <v>69</v>
      </c>
      <c r="K31" s="28" t="s">
        <v>71</v>
      </c>
      <c r="L31" s="28" t="s">
        <v>20</v>
      </c>
      <c r="M31" s="28" t="s">
        <v>20</v>
      </c>
      <c r="N31" s="28" t="s">
        <v>20</v>
      </c>
      <c r="O31" s="28" t="s">
        <v>25</v>
      </c>
      <c r="P31" s="28" t="s">
        <v>25</v>
      </c>
      <c r="Q31" s="28" t="s">
        <v>26</v>
      </c>
      <c r="R31" s="28" t="s">
        <v>20</v>
      </c>
      <c r="S31" s="28" t="s">
        <v>20</v>
      </c>
      <c r="U31" s="137" t="s">
        <v>41</v>
      </c>
      <c r="V31" s="12" t="s">
        <v>27</v>
      </c>
      <c r="W31" s="14">
        <f>+COUNTIF(Q5:Q41,"Elevada")</f>
        <v>17</v>
      </c>
      <c r="X31" s="125" t="s">
        <v>116</v>
      </c>
      <c r="Y31" s="48" t="s">
        <v>114</v>
      </c>
      <c r="Z31" s="49">
        <f>COUNTIFS($C$5:$C$65,"M",$Q$5:$Q$65,"Elevada")</f>
        <v>11</v>
      </c>
      <c r="AA31" s="125" t="s">
        <v>119</v>
      </c>
      <c r="AB31" s="48" t="s">
        <v>114</v>
      </c>
      <c r="AC31" s="49">
        <f>COUNTIFS($C$5:$C$65,"M",$Q$5:$Q$65,"Alguna")</f>
        <v>3</v>
      </c>
      <c r="AD31" s="125" t="s">
        <v>120</v>
      </c>
      <c r="AE31" s="48" t="s">
        <v>114</v>
      </c>
      <c r="AF31" s="49">
        <f>COUNTIFS($C$5:$C$65,"M",$Q$5:$Q$65,"Poca")</f>
        <v>5</v>
      </c>
      <c r="AG31" s="125" t="s">
        <v>121</v>
      </c>
      <c r="AH31" s="48" t="s">
        <v>114</v>
      </c>
      <c r="AI31" s="55">
        <f>COUNTIFS($C$5:$C$65,"M",$Q$5:$Q$65,"Ninguna")</f>
        <v>1</v>
      </c>
      <c r="AJ31" s="55"/>
      <c r="AK31" s="125" t="s">
        <v>122</v>
      </c>
      <c r="AL31" s="56" t="s">
        <v>4</v>
      </c>
      <c r="AM31" s="48">
        <f>COUNTIFS($D$5:$D$65,"1",$Q$5:$Q$65,"Elevada")</f>
        <v>0</v>
      </c>
      <c r="AN31" s="48" t="s">
        <v>7</v>
      </c>
      <c r="AO31" s="48">
        <f>COUNTIFS($G$5:$G$65,"1",$Q$5:$Q$65,"Elevada")</f>
        <v>1</v>
      </c>
      <c r="AP31" s="48" t="s">
        <v>29</v>
      </c>
      <c r="AQ31" s="49">
        <f>COUNTIFS($I$5:$I$65,"Blanco",$Q$5:$Q$65,"Elevada")</f>
        <v>1</v>
      </c>
      <c r="AR31" s="125" t="s">
        <v>119</v>
      </c>
      <c r="AS31" s="48" t="s">
        <v>4</v>
      </c>
      <c r="AT31" s="48">
        <f>COUNTIFS($D$5:$D$65,"1",$Q$5:$Q$65,"Alguna")</f>
        <v>1</v>
      </c>
      <c r="AU31" s="48" t="s">
        <v>7</v>
      </c>
      <c r="AV31" s="48">
        <f>COUNTIFS($G$5:$G$65,"1",$Q$5:$Q$65,"Alguna")</f>
        <v>0</v>
      </c>
      <c r="AW31" s="48" t="s">
        <v>29</v>
      </c>
      <c r="AX31" s="49">
        <f>COUNTIFS($I$5:$I$65,"Blanco",$Q$5:$Q$65,"Alguna")</f>
        <v>0</v>
      </c>
    </row>
    <row r="32" spans="1:50" x14ac:dyDescent="0.25">
      <c r="A32" s="3">
        <v>28</v>
      </c>
      <c r="B32" s="29">
        <v>42930</v>
      </c>
      <c r="C32" s="28" t="s">
        <v>30</v>
      </c>
      <c r="D32" s="28"/>
      <c r="E32" s="28"/>
      <c r="F32" s="28"/>
      <c r="G32" s="28"/>
      <c r="H32" s="28">
        <v>1</v>
      </c>
      <c r="I32" s="28"/>
      <c r="J32" s="33" t="s">
        <v>69</v>
      </c>
      <c r="K32" s="28" t="s">
        <v>71</v>
      </c>
      <c r="L32" s="28" t="s">
        <v>20</v>
      </c>
      <c r="M32" s="28" t="s">
        <v>20</v>
      </c>
      <c r="N32" s="28" t="s">
        <v>25</v>
      </c>
      <c r="O32" s="28" t="s">
        <v>20</v>
      </c>
      <c r="P32" s="28" t="s">
        <v>25</v>
      </c>
      <c r="Q32" s="28" t="s">
        <v>26</v>
      </c>
      <c r="R32" s="28" t="s">
        <v>25</v>
      </c>
      <c r="S32" s="28" t="s">
        <v>20</v>
      </c>
      <c r="U32" s="109"/>
      <c r="V32" s="9" t="s">
        <v>28</v>
      </c>
      <c r="W32" s="15">
        <f>+COUNTIF(Q5:Q41,"Alguna")</f>
        <v>7</v>
      </c>
      <c r="X32" s="126"/>
      <c r="Y32" s="6" t="s">
        <v>115</v>
      </c>
      <c r="Z32" s="51">
        <f>COUNTIFS($C$5:$C$65,"F",$Q$5:$Q$65,"Elevada")</f>
        <v>4</v>
      </c>
      <c r="AA32" s="126"/>
      <c r="AB32" s="6" t="s">
        <v>115</v>
      </c>
      <c r="AC32" s="51">
        <f>COUNTIFS($C$5:$C$65,"F",$Q$5:$Q$65,"Alguna")</f>
        <v>4</v>
      </c>
      <c r="AD32" s="126"/>
      <c r="AE32" s="6" t="s">
        <v>115</v>
      </c>
      <c r="AF32" s="51">
        <f>COUNTIFS($C$5:$C$65,"F",$Q$5:$Q$65,"Poca")</f>
        <v>3</v>
      </c>
      <c r="AG32" s="126"/>
      <c r="AH32" s="6" t="s">
        <v>115</v>
      </c>
      <c r="AI32" s="57">
        <f>COUNTIFS($C$5:$C$65,"F",$Q$5:$Q$65,"Ninguna")</f>
        <v>2</v>
      </c>
      <c r="AJ32" s="57"/>
      <c r="AK32" s="126"/>
      <c r="AL32" s="50" t="s">
        <v>5</v>
      </c>
      <c r="AM32" s="6">
        <f>COUNTIFS($E$5:$E$65,"1",$Q$5:$Q$65,"Elevada")</f>
        <v>1</v>
      </c>
      <c r="AN32" s="39" t="s">
        <v>8</v>
      </c>
      <c r="AO32" s="6">
        <f>COUNTIFS($H$5:$H$65,"1",$Q$5:$Q$65,"Elevada")</f>
        <v>3</v>
      </c>
      <c r="AP32" s="6"/>
      <c r="AQ32" s="51"/>
      <c r="AR32" s="126"/>
      <c r="AS32" s="6" t="s">
        <v>5</v>
      </c>
      <c r="AT32" s="6">
        <f>COUNTIFS($E$5:$E$65,"1",$Q$5:$Q$65,"Alguna")</f>
        <v>0</v>
      </c>
      <c r="AU32" s="39" t="s">
        <v>8</v>
      </c>
      <c r="AV32" s="6">
        <f>COUNTIFS($H$5:$H$65,"1",$Q$5:$Q$65,"Alguna")</f>
        <v>1</v>
      </c>
      <c r="AW32" s="6"/>
      <c r="AX32" s="51"/>
    </row>
    <row r="33" spans="1:50" ht="15.75" thickBot="1" x14ac:dyDescent="0.3">
      <c r="A33" s="3">
        <v>29</v>
      </c>
      <c r="B33" s="29">
        <v>42930</v>
      </c>
      <c r="C33" s="28" t="s">
        <v>30</v>
      </c>
      <c r="D33" s="28"/>
      <c r="E33" s="28"/>
      <c r="F33" s="28"/>
      <c r="G33" s="28"/>
      <c r="H33" s="28">
        <v>1</v>
      </c>
      <c r="I33" s="28"/>
      <c r="J33" s="33" t="s">
        <v>69</v>
      </c>
      <c r="K33" s="28" t="s">
        <v>71</v>
      </c>
      <c r="L33" s="28" t="s">
        <v>20</v>
      </c>
      <c r="M33" s="28" t="s">
        <v>20</v>
      </c>
      <c r="N33" s="28" t="s">
        <v>20</v>
      </c>
      <c r="O33" s="28" t="s">
        <v>20</v>
      </c>
      <c r="P33" s="28" t="s">
        <v>25</v>
      </c>
      <c r="Q33" s="28" t="s">
        <v>26</v>
      </c>
      <c r="R33" s="28" t="s">
        <v>20</v>
      </c>
      <c r="S33" s="28" t="s">
        <v>20</v>
      </c>
      <c r="U33" s="109"/>
      <c r="V33" s="9" t="s">
        <v>26</v>
      </c>
      <c r="W33" s="15">
        <f>+COUNTIF(Q5:Q41,"Poca")</f>
        <v>8</v>
      </c>
      <c r="X33" s="127"/>
      <c r="Y33" s="26" t="s">
        <v>29</v>
      </c>
      <c r="Z33" s="52">
        <f>COUNTIFS($C$5:$C$65,"Blanco",Q5:Q65,"Elevada")</f>
        <v>2</v>
      </c>
      <c r="AA33" s="127"/>
      <c r="AB33" s="26" t="s">
        <v>29</v>
      </c>
      <c r="AC33" s="52">
        <f>COUNTIFS($C$5:$C$65,"Blanco",$Q$5:$Q$65,"Alguna")</f>
        <v>0</v>
      </c>
      <c r="AD33" s="127"/>
      <c r="AE33" s="26" t="s">
        <v>29</v>
      </c>
      <c r="AF33" s="52">
        <f>COUNTIFS($C$5:$C$65,"Blanco",$Q$5:$Q$65,"Poca")</f>
        <v>0</v>
      </c>
      <c r="AG33" s="127"/>
      <c r="AH33" s="26" t="s">
        <v>29</v>
      </c>
      <c r="AI33" s="58">
        <f>COUNTIFS($C$5:$C$65,"Blanco",$Q$5:$Q$65,"Ninguna")</f>
        <v>0</v>
      </c>
      <c r="AJ33" s="58"/>
      <c r="AK33" s="127"/>
      <c r="AL33" s="59" t="s">
        <v>6</v>
      </c>
      <c r="AM33" s="26">
        <f>COUNTIFS($F$5:$F$65,"1",$Q$5:$Q$65,"Elevada")</f>
        <v>3</v>
      </c>
      <c r="AN33" s="26" t="s">
        <v>9</v>
      </c>
      <c r="AO33" s="26">
        <f>COUNTIFS($I$5:$I$65,"1",$Q$5:$Q$65,"Elevada")</f>
        <v>8</v>
      </c>
      <c r="AP33" s="26"/>
      <c r="AQ33" s="52"/>
      <c r="AR33" s="127"/>
      <c r="AS33" s="26" t="s">
        <v>6</v>
      </c>
      <c r="AT33" s="26">
        <f>COUNTIFS($F$5:$F$65,"1",$Q$5:$Q$65,"Alguna")</f>
        <v>1</v>
      </c>
      <c r="AU33" s="26" t="s">
        <v>9</v>
      </c>
      <c r="AV33" s="26">
        <f>COUNTIFS($I$5:$I$65,"1",$Q$5:$Q$65,"Alguna")</f>
        <v>4</v>
      </c>
      <c r="AW33" s="26"/>
      <c r="AX33" s="52"/>
    </row>
    <row r="34" spans="1:50" ht="15.75" thickBot="1" x14ac:dyDescent="0.3">
      <c r="A34" s="3">
        <v>30</v>
      </c>
      <c r="B34" s="29">
        <v>42930</v>
      </c>
      <c r="C34" s="28" t="s">
        <v>30</v>
      </c>
      <c r="D34" s="28"/>
      <c r="E34" s="28"/>
      <c r="F34" s="28"/>
      <c r="G34" s="28"/>
      <c r="H34" s="28"/>
      <c r="I34" s="28">
        <v>1</v>
      </c>
      <c r="J34" s="33" t="s">
        <v>69</v>
      </c>
      <c r="K34" s="28" t="s">
        <v>71</v>
      </c>
      <c r="L34" s="28" t="s">
        <v>20</v>
      </c>
      <c r="M34" s="28" t="s">
        <v>20</v>
      </c>
      <c r="N34" s="28" t="s">
        <v>20</v>
      </c>
      <c r="O34" s="28" t="s">
        <v>25</v>
      </c>
      <c r="P34" s="28" t="s">
        <v>20</v>
      </c>
      <c r="Q34" s="28" t="s">
        <v>28</v>
      </c>
      <c r="R34" s="28" t="s">
        <v>20</v>
      </c>
      <c r="S34" s="28" t="s">
        <v>20</v>
      </c>
      <c r="U34" s="110"/>
      <c r="V34" s="13" t="s">
        <v>34</v>
      </c>
      <c r="W34" s="16">
        <f>+COUNTIF(Q5:Q41,"Ninguna")</f>
        <v>3</v>
      </c>
      <c r="X34" s="47"/>
      <c r="Y34" s="60"/>
      <c r="Z34" s="62"/>
      <c r="AA34" s="63"/>
      <c r="AB34" s="60"/>
      <c r="AC34" s="64"/>
      <c r="AD34" s="60"/>
      <c r="AE34" s="60"/>
      <c r="AG34" s="60"/>
      <c r="AH34" s="60"/>
      <c r="AI34" s="60"/>
      <c r="AJ34" s="60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</row>
    <row r="35" spans="1:50" x14ac:dyDescent="0.25">
      <c r="A35" s="3">
        <v>31</v>
      </c>
      <c r="B35" s="29">
        <v>42930</v>
      </c>
      <c r="C35" s="28" t="s">
        <v>30</v>
      </c>
      <c r="D35" s="28"/>
      <c r="E35" s="28"/>
      <c r="F35" s="28"/>
      <c r="G35" s="28"/>
      <c r="H35" s="28"/>
      <c r="I35" s="28">
        <v>1</v>
      </c>
      <c r="J35" s="33" t="s">
        <v>69</v>
      </c>
      <c r="K35" s="28" t="s">
        <v>71</v>
      </c>
      <c r="L35" s="28" t="s">
        <v>20</v>
      </c>
      <c r="M35" s="28" t="s">
        <v>20</v>
      </c>
      <c r="N35" s="28" t="s">
        <v>20</v>
      </c>
      <c r="O35" s="28" t="s">
        <v>20</v>
      </c>
      <c r="P35" s="28" t="s">
        <v>20</v>
      </c>
      <c r="Q35" s="28" t="s">
        <v>28</v>
      </c>
      <c r="R35" s="28" t="s">
        <v>20</v>
      </c>
      <c r="S35" s="28" t="s">
        <v>20</v>
      </c>
      <c r="U35" s="137" t="s">
        <v>42</v>
      </c>
      <c r="V35" s="12" t="s">
        <v>20</v>
      </c>
      <c r="W35" s="14">
        <f>+COUNTIF(R5:R41,"Si")</f>
        <v>22</v>
      </c>
      <c r="X35" s="125" t="s">
        <v>118</v>
      </c>
      <c r="Y35" s="48" t="s">
        <v>114</v>
      </c>
      <c r="Z35" s="49">
        <f>COUNTIFS($C$5:$C$65,"M",$R$5:$R$65,"Si")</f>
        <v>12</v>
      </c>
      <c r="AA35" s="125" t="s">
        <v>117</v>
      </c>
      <c r="AB35" s="48" t="s">
        <v>114</v>
      </c>
      <c r="AC35" s="55">
        <f>COUNTIFS($C$5:$C$65,"M",$R$5:$R$65,"No")</f>
        <v>8</v>
      </c>
      <c r="AD35" s="125" t="s">
        <v>118</v>
      </c>
      <c r="AE35" s="48" t="s">
        <v>4</v>
      </c>
      <c r="AF35" s="48">
        <f>COUNTIFS($D$5:$D$65,"1",$R$5:$R$65,"Si")</f>
        <v>0</v>
      </c>
      <c r="AG35" s="48" t="s">
        <v>7</v>
      </c>
      <c r="AH35" s="48">
        <f>COUNTIFS($G$5:$G$65,"1",$R$5:$R$65,"Si")</f>
        <v>2</v>
      </c>
      <c r="AI35" s="48" t="s">
        <v>29</v>
      </c>
      <c r="AJ35" s="49">
        <f>COUNTIFS($I$5:$I$65,"Blanco",$R$5:$R$65,"Si")</f>
        <v>0</v>
      </c>
      <c r="AK35" s="50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x14ac:dyDescent="0.25">
      <c r="A36" s="3">
        <v>32</v>
      </c>
      <c r="B36" s="29">
        <v>42930</v>
      </c>
      <c r="C36" s="28" t="s">
        <v>30</v>
      </c>
      <c r="D36" s="28"/>
      <c r="E36" s="28"/>
      <c r="F36" s="28"/>
      <c r="G36" s="28"/>
      <c r="H36" s="28"/>
      <c r="I36" s="28">
        <v>1</v>
      </c>
      <c r="J36" s="33" t="s">
        <v>69</v>
      </c>
      <c r="K36" s="28" t="s">
        <v>71</v>
      </c>
      <c r="L36" s="28" t="s">
        <v>20</v>
      </c>
      <c r="M36" s="28" t="s">
        <v>20</v>
      </c>
      <c r="N36" s="28" t="s">
        <v>25</v>
      </c>
      <c r="O36" s="28" t="s">
        <v>25</v>
      </c>
      <c r="P36" s="28" t="s">
        <v>25</v>
      </c>
      <c r="Q36" s="28" t="s">
        <v>28</v>
      </c>
      <c r="R36" s="28" t="s">
        <v>20</v>
      </c>
      <c r="S36" s="28" t="s">
        <v>20</v>
      </c>
      <c r="U36" s="109"/>
      <c r="V36" s="9" t="s">
        <v>25</v>
      </c>
      <c r="W36" s="15">
        <f>+COUNTIF(R5:R41,"No")</f>
        <v>13</v>
      </c>
      <c r="X36" s="126"/>
      <c r="Y36" s="6" t="s">
        <v>115</v>
      </c>
      <c r="Z36" s="51">
        <f>COUNTIFS($C$5:$C$65,"F",$R$5:$R$65,"Si")</f>
        <v>9</v>
      </c>
      <c r="AA36" s="126"/>
      <c r="AB36" s="6" t="s">
        <v>115</v>
      </c>
      <c r="AC36" s="57">
        <f>COUNTIFS($C$5:$C$65,"F",$R$5:$R$65,"No")</f>
        <v>4</v>
      </c>
      <c r="AD36" s="126"/>
      <c r="AE36" s="6" t="s">
        <v>5</v>
      </c>
      <c r="AF36" s="6">
        <f>COUNTIFS($E$5:$E$65,"1",$R$5:$R$65,"Si")</f>
        <v>1</v>
      </c>
      <c r="AG36" s="39" t="s">
        <v>8</v>
      </c>
      <c r="AH36" s="6">
        <f>COUNTIFS($H$5:$H$65,"1",$R$5:$R$65,"Si")</f>
        <v>4</v>
      </c>
      <c r="AI36" s="6"/>
      <c r="AJ36" s="51"/>
      <c r="AK36" s="50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15.75" thickBot="1" x14ac:dyDescent="0.3">
      <c r="A37" s="3">
        <v>33</v>
      </c>
      <c r="B37" s="29">
        <v>42930</v>
      </c>
      <c r="C37" s="28" t="s">
        <v>30</v>
      </c>
      <c r="D37" s="28"/>
      <c r="E37" s="28"/>
      <c r="F37" s="28"/>
      <c r="G37" s="28"/>
      <c r="H37" s="28"/>
      <c r="I37" s="28">
        <v>1</v>
      </c>
      <c r="J37" s="33" t="s">
        <v>69</v>
      </c>
      <c r="K37" s="28" t="s">
        <v>71</v>
      </c>
      <c r="L37" s="28" t="s">
        <v>20</v>
      </c>
      <c r="M37" s="28" t="s">
        <v>20</v>
      </c>
      <c r="N37" s="28" t="s">
        <v>25</v>
      </c>
      <c r="O37" s="28" t="s">
        <v>25</v>
      </c>
      <c r="P37" s="28" t="s">
        <v>25</v>
      </c>
      <c r="Q37" s="28" t="s">
        <v>27</v>
      </c>
      <c r="R37" s="28" t="s">
        <v>20</v>
      </c>
      <c r="S37" s="28" t="s">
        <v>20</v>
      </c>
      <c r="U37" s="110"/>
      <c r="V37" s="13" t="s">
        <v>29</v>
      </c>
      <c r="W37" s="16">
        <f>+COUNTIF(R5:R41,"Blanco")</f>
        <v>0</v>
      </c>
      <c r="X37" s="127"/>
      <c r="Y37" s="26" t="s">
        <v>29</v>
      </c>
      <c r="Z37" s="52">
        <f>COUNTIFS($C$5:$C$65,"Blanco",$R$5:$R$65,"Si")</f>
        <v>1</v>
      </c>
      <c r="AA37" s="127"/>
      <c r="AB37" s="26" t="s">
        <v>29</v>
      </c>
      <c r="AC37" s="58">
        <f>COUNTIFS($C$5:$C$65,"Blanco",$R$5:$R$65,"No")</f>
        <v>1</v>
      </c>
      <c r="AD37" s="127"/>
      <c r="AE37" s="26" t="s">
        <v>6</v>
      </c>
      <c r="AF37" s="26">
        <f>COUNTIFS($F$5:$F$65,"1",$R$5:$R$65,"Si")</f>
        <v>2</v>
      </c>
      <c r="AG37" s="26" t="s">
        <v>9</v>
      </c>
      <c r="AH37" s="26">
        <f>COUNTIFS($I$5:$I$65,"1",$R$5:$R$65,"Si")</f>
        <v>13</v>
      </c>
      <c r="AI37" s="26"/>
      <c r="AJ37" s="52"/>
      <c r="AK37" s="50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x14ac:dyDescent="0.25">
      <c r="A38" s="3">
        <v>34</v>
      </c>
      <c r="B38" s="29">
        <v>42930</v>
      </c>
      <c r="C38" s="28" t="s">
        <v>23</v>
      </c>
      <c r="D38" s="28"/>
      <c r="E38" s="28"/>
      <c r="F38" s="28">
        <v>1</v>
      </c>
      <c r="G38" s="28"/>
      <c r="H38" s="28"/>
      <c r="I38" s="28"/>
      <c r="J38" s="33" t="s">
        <v>69</v>
      </c>
      <c r="K38" s="28" t="s">
        <v>71</v>
      </c>
      <c r="L38" s="28" t="s">
        <v>20</v>
      </c>
      <c r="M38" s="28" t="s">
        <v>20</v>
      </c>
      <c r="N38" s="28" t="s">
        <v>20</v>
      </c>
      <c r="O38" s="28" t="s">
        <v>25</v>
      </c>
      <c r="P38" s="28" t="s">
        <v>25</v>
      </c>
      <c r="Q38" s="28" t="s">
        <v>28</v>
      </c>
      <c r="R38" s="28" t="s">
        <v>20</v>
      </c>
      <c r="S38" s="28" t="s">
        <v>20</v>
      </c>
      <c r="U38" s="137" t="s">
        <v>43</v>
      </c>
      <c r="V38" s="12" t="s">
        <v>20</v>
      </c>
      <c r="W38" s="14">
        <f>+COUNTIF(S5:S41,"Si")</f>
        <v>26</v>
      </c>
      <c r="X38" s="125" t="s">
        <v>118</v>
      </c>
      <c r="Y38" s="48" t="s">
        <v>114</v>
      </c>
      <c r="Z38" s="49">
        <f>COUNTIFS($C$5:$C$65,"M",$S$5:$S$65,"Si")</f>
        <v>14</v>
      </c>
      <c r="AA38" s="125" t="s">
        <v>117</v>
      </c>
      <c r="AB38" s="48" t="s">
        <v>114</v>
      </c>
      <c r="AC38" s="55">
        <f>COUNTIFS($C$5:$C$65,"M",$S$5:$S$65,"No")</f>
        <v>6</v>
      </c>
      <c r="AD38" s="125" t="s">
        <v>118</v>
      </c>
      <c r="AE38" s="48" t="s">
        <v>4</v>
      </c>
      <c r="AF38" s="48">
        <f>COUNTIFS($D$5:$D$65,"1",$S$5:$S$65,"Si")</f>
        <v>1</v>
      </c>
      <c r="AG38" s="48" t="s">
        <v>7</v>
      </c>
      <c r="AH38" s="48">
        <f>COUNTIFS($G$5:$G$65,"1",$S$5:$S$65,"Si")</f>
        <v>1</v>
      </c>
      <c r="AI38" s="48" t="s">
        <v>29</v>
      </c>
      <c r="AJ38" s="49">
        <f>COUNTIFS($I$5:$I$65,"Blanco",$S$5:$S$65,"Si")</f>
        <v>0</v>
      </c>
      <c r="AK38" s="50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x14ac:dyDescent="0.25">
      <c r="A39" s="3">
        <v>35</v>
      </c>
      <c r="B39" s="29">
        <v>42930</v>
      </c>
      <c r="C39" s="28" t="s">
        <v>23</v>
      </c>
      <c r="D39" s="28"/>
      <c r="E39" s="28"/>
      <c r="F39" s="28"/>
      <c r="G39" s="28"/>
      <c r="H39" s="28"/>
      <c r="I39" s="28">
        <v>1</v>
      </c>
      <c r="J39" s="33" t="s">
        <v>69</v>
      </c>
      <c r="K39" s="28" t="s">
        <v>71</v>
      </c>
      <c r="L39" s="28" t="s">
        <v>20</v>
      </c>
      <c r="M39" s="28" t="s">
        <v>25</v>
      </c>
      <c r="N39" s="28" t="s">
        <v>25</v>
      </c>
      <c r="O39" s="28" t="s">
        <v>25</v>
      </c>
      <c r="P39" s="28" t="s">
        <v>25</v>
      </c>
      <c r="Q39" s="28" t="s">
        <v>27</v>
      </c>
      <c r="R39" s="28" t="s">
        <v>20</v>
      </c>
      <c r="S39" s="28" t="s">
        <v>20</v>
      </c>
      <c r="U39" s="109"/>
      <c r="V39" s="9" t="s">
        <v>25</v>
      </c>
      <c r="W39" s="15">
        <f>+COUNTIF(S5:S41,"No")</f>
        <v>9</v>
      </c>
      <c r="X39" s="126"/>
      <c r="Y39" s="6" t="s">
        <v>115</v>
      </c>
      <c r="Z39" s="51">
        <f>COUNTIFS($C$5:$C$65,"F",$S$5:$S$65,"Si")</f>
        <v>11</v>
      </c>
      <c r="AA39" s="126"/>
      <c r="AB39" s="6" t="s">
        <v>115</v>
      </c>
      <c r="AC39" s="57">
        <f>COUNTIFS($C$5:$C$65,"F",$S$5:$S$65,"No")</f>
        <v>2</v>
      </c>
      <c r="AD39" s="126"/>
      <c r="AE39" s="6" t="s">
        <v>5</v>
      </c>
      <c r="AF39" s="6">
        <f>COUNTIFS($E$5:$E$65,"1",$S$6:$S$66,"Si")</f>
        <v>1</v>
      </c>
      <c r="AG39" s="39" t="s">
        <v>8</v>
      </c>
      <c r="AH39" s="6">
        <f>COUNTIFS($H$5:$H$65,"1",$S$5:$S$65,"Si")</f>
        <v>5</v>
      </c>
      <c r="AI39" s="6"/>
      <c r="AJ39" s="51"/>
      <c r="AK39" s="50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5.75" thickBot="1" x14ac:dyDescent="0.3">
      <c r="A40" s="3">
        <v>36</v>
      </c>
      <c r="B40" s="29"/>
      <c r="C40" s="31"/>
      <c r="D40" s="32"/>
      <c r="E40" s="32"/>
      <c r="F40" s="32"/>
      <c r="G40" s="32"/>
      <c r="H40" s="28"/>
      <c r="I40" s="28"/>
      <c r="J40" s="33"/>
      <c r="K40" s="28"/>
      <c r="L40" s="31"/>
      <c r="M40" s="31"/>
      <c r="N40" s="31"/>
      <c r="O40" s="31"/>
      <c r="P40" s="31"/>
      <c r="Q40" s="31"/>
      <c r="R40" s="31"/>
      <c r="S40" s="31"/>
      <c r="U40" s="110"/>
      <c r="V40" s="13" t="s">
        <v>29</v>
      </c>
      <c r="W40" s="16">
        <f>+COUNTIF(S5:S41,"Blanco")</f>
        <v>0</v>
      </c>
      <c r="X40" s="127"/>
      <c r="Y40" s="26" t="s">
        <v>29</v>
      </c>
      <c r="Z40" s="52">
        <f>COUNTIFS($C$5:$C$65,"Blanco",$S$5:$S$65,"Si")</f>
        <v>1</v>
      </c>
      <c r="AA40" s="127"/>
      <c r="AB40" s="26" t="s">
        <v>29</v>
      </c>
      <c r="AC40" s="58">
        <f>COUNTIFS($C$5:$C$65,"Blanco",$S$5:$S$65,"No")</f>
        <v>1</v>
      </c>
      <c r="AD40" s="127"/>
      <c r="AE40" s="26" t="s">
        <v>6</v>
      </c>
      <c r="AF40" s="26">
        <f>COUNTIFS($F$5:$F$65,"1",$S$5:$S$65,"Si")</f>
        <v>4</v>
      </c>
      <c r="AG40" s="26" t="s">
        <v>9</v>
      </c>
      <c r="AH40" s="26">
        <f>COUNTIFS($I$5:$I$65,"1",$S$5:$S$65,"Si")</f>
        <v>14</v>
      </c>
      <c r="AI40" s="26"/>
      <c r="AJ40" s="52"/>
      <c r="AK40" s="50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x14ac:dyDescent="0.25">
      <c r="A41" s="3">
        <v>37</v>
      </c>
      <c r="B41" s="29"/>
      <c r="C41" s="31"/>
      <c r="D41" s="32"/>
      <c r="E41" s="32"/>
      <c r="F41" s="32"/>
      <c r="G41" s="32"/>
      <c r="H41" s="28"/>
      <c r="I41" s="28"/>
      <c r="J41" s="33"/>
      <c r="K41" s="28"/>
      <c r="L41" s="31"/>
      <c r="M41" s="31"/>
      <c r="N41" s="31"/>
      <c r="O41" s="31"/>
      <c r="P41" s="31"/>
      <c r="Q41" s="31"/>
      <c r="R41" s="31"/>
      <c r="S41" s="31"/>
    </row>
  </sheetData>
  <mergeCells count="58">
    <mergeCell ref="X38:X40"/>
    <mergeCell ref="AA38:AA40"/>
    <mergeCell ref="AD38:AD40"/>
    <mergeCell ref="AG31:AG33"/>
    <mergeCell ref="AK31:AK33"/>
    <mergeCell ref="AR31:AR33"/>
    <mergeCell ref="X35:X37"/>
    <mergeCell ref="AA35:AA37"/>
    <mergeCell ref="AD35:AD37"/>
    <mergeCell ref="X28:X30"/>
    <mergeCell ref="AA28:AA30"/>
    <mergeCell ref="AD28:AD30"/>
    <mergeCell ref="X31:X33"/>
    <mergeCell ref="AA31:AA33"/>
    <mergeCell ref="AD31:AD33"/>
    <mergeCell ref="X22:X24"/>
    <mergeCell ref="AA22:AA24"/>
    <mergeCell ref="AD22:AD24"/>
    <mergeCell ref="X25:X27"/>
    <mergeCell ref="AA25:AA27"/>
    <mergeCell ref="AD25:AD27"/>
    <mergeCell ref="X16:X18"/>
    <mergeCell ref="AA16:AA18"/>
    <mergeCell ref="AD16:AD18"/>
    <mergeCell ref="X19:X21"/>
    <mergeCell ref="AA19:AA21"/>
    <mergeCell ref="AD19:AD21"/>
    <mergeCell ref="U31:U34"/>
    <mergeCell ref="U35:U37"/>
    <mergeCell ref="U38:U40"/>
    <mergeCell ref="U13:U15"/>
    <mergeCell ref="U16:U18"/>
    <mergeCell ref="U19:U21"/>
    <mergeCell ref="U22:U24"/>
    <mergeCell ref="U25:U27"/>
    <mergeCell ref="U28:U30"/>
    <mergeCell ref="U6:U12"/>
    <mergeCell ref="L3:L4"/>
    <mergeCell ref="M3:M4"/>
    <mergeCell ref="N3:N4"/>
    <mergeCell ref="O3:O4"/>
    <mergeCell ref="P3:P4"/>
    <mergeCell ref="Q3:Q4"/>
    <mergeCell ref="R3:R4"/>
    <mergeCell ref="S3:S4"/>
    <mergeCell ref="U3:V3"/>
    <mergeCell ref="U4:V4"/>
    <mergeCell ref="U5:V5"/>
    <mergeCell ref="A1:S1"/>
    <mergeCell ref="U1:W1"/>
    <mergeCell ref="A2:S2"/>
    <mergeCell ref="U2:V2"/>
    <mergeCell ref="A3:A4"/>
    <mergeCell ref="B3:B4"/>
    <mergeCell ref="C3:C4"/>
    <mergeCell ref="D3:I3"/>
    <mergeCell ref="J3:J4"/>
    <mergeCell ref="K3:K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65"/>
  <sheetViews>
    <sheetView zoomScale="60" zoomScaleNormal="60" workbookViewId="0">
      <selection activeCell="L29" sqref="L29"/>
    </sheetView>
  </sheetViews>
  <sheetFormatPr baseColWidth="10" defaultRowHeight="15" x14ac:dyDescent="0.25"/>
  <cols>
    <col min="1" max="1" width="6.28515625" style="1" bestFit="1" customWidth="1"/>
    <col min="2" max="2" width="17.42578125" customWidth="1"/>
    <col min="4" max="4" width="9.7109375" bestFit="1" customWidth="1"/>
    <col min="5" max="5" width="10.140625" bestFit="1" customWidth="1"/>
    <col min="6" max="6" width="9.7109375" bestFit="1" customWidth="1"/>
    <col min="7" max="7" width="10.140625" bestFit="1" customWidth="1"/>
    <col min="8" max="8" width="9.7109375" bestFit="1" customWidth="1"/>
    <col min="9" max="9" width="14.140625" customWidth="1"/>
    <col min="10" max="10" width="20.140625" bestFit="1" customWidth="1"/>
    <col min="11" max="11" width="16" bestFit="1" customWidth="1"/>
    <col min="12" max="19" width="14.28515625" customWidth="1"/>
    <col min="21" max="21" width="48.42578125" style="7" customWidth="1"/>
    <col min="22" max="22" width="23.85546875" bestFit="1" customWidth="1"/>
    <col min="23" max="23" width="11.42578125" style="1"/>
    <col min="24" max="24" width="14.28515625" style="1" customWidth="1"/>
    <col min="27" max="27" width="14.28515625" customWidth="1"/>
    <col min="30" max="30" width="14.42578125" customWidth="1"/>
    <col min="33" max="33" width="15.5703125" customWidth="1"/>
    <col min="36" max="36" width="15.140625" customWidth="1"/>
    <col min="37" max="37" width="14.42578125" customWidth="1"/>
    <col min="40" max="40" width="16.140625" customWidth="1"/>
    <col min="43" max="43" width="15.85546875" customWidth="1"/>
    <col min="44" max="44" width="15.5703125" customWidth="1"/>
    <col min="47" max="47" width="16.7109375" customWidth="1"/>
  </cols>
  <sheetData>
    <row r="1" spans="1:24" ht="15.75" thickBot="1" x14ac:dyDescent="0.3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U1" s="144" t="s">
        <v>46</v>
      </c>
      <c r="V1" s="145"/>
      <c r="W1" s="148"/>
      <c r="X1" s="41"/>
    </row>
    <row r="2" spans="1:24" ht="15.75" thickBot="1" x14ac:dyDescent="0.3">
      <c r="A2" s="123" t="s">
        <v>21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U2" s="144" t="s">
        <v>44</v>
      </c>
      <c r="V2" s="145"/>
      <c r="W2" s="17">
        <f>+COUNTIF(C5:C65,"M")</f>
        <v>15</v>
      </c>
      <c r="X2" s="42"/>
    </row>
    <row r="3" spans="1:24" ht="15.75" customHeight="1" thickBot="1" x14ac:dyDescent="0.3">
      <c r="A3" s="149" t="s">
        <v>22</v>
      </c>
      <c r="B3" s="151" t="s">
        <v>2</v>
      </c>
      <c r="C3" s="149" t="s">
        <v>1</v>
      </c>
      <c r="D3" s="123" t="s">
        <v>3</v>
      </c>
      <c r="E3" s="123"/>
      <c r="F3" s="123"/>
      <c r="G3" s="123"/>
      <c r="H3" s="123"/>
      <c r="I3" s="123"/>
      <c r="J3" s="149" t="s">
        <v>11</v>
      </c>
      <c r="K3" s="149" t="s">
        <v>10</v>
      </c>
      <c r="L3" s="142" t="s">
        <v>12</v>
      </c>
      <c r="M3" s="142" t="s">
        <v>13</v>
      </c>
      <c r="N3" s="142" t="s">
        <v>14</v>
      </c>
      <c r="O3" s="142" t="s">
        <v>15</v>
      </c>
      <c r="P3" s="142" t="s">
        <v>16</v>
      </c>
      <c r="Q3" s="142" t="s">
        <v>17</v>
      </c>
      <c r="R3" s="142" t="s">
        <v>18</v>
      </c>
      <c r="S3" s="142" t="s">
        <v>19</v>
      </c>
      <c r="U3" s="144" t="s">
        <v>45</v>
      </c>
      <c r="V3" s="145"/>
      <c r="W3" s="17">
        <f>+COUNTIF(C5:C65,"F")</f>
        <v>12</v>
      </c>
      <c r="X3" s="42"/>
    </row>
    <row r="4" spans="1:24" ht="15.75" customHeight="1" thickBot="1" x14ac:dyDescent="0.3">
      <c r="A4" s="150"/>
      <c r="B4" s="152"/>
      <c r="C4" s="150"/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150"/>
      <c r="K4" s="150"/>
      <c r="L4" s="143"/>
      <c r="M4" s="143"/>
      <c r="N4" s="143"/>
      <c r="O4" s="143"/>
      <c r="P4" s="143"/>
      <c r="Q4" s="143"/>
      <c r="R4" s="143"/>
      <c r="S4" s="143"/>
      <c r="U4" s="146" t="s">
        <v>29</v>
      </c>
      <c r="V4" s="147"/>
      <c r="W4" s="17">
        <f>+COUNTIF(C5:C65,"Blanco")</f>
        <v>8</v>
      </c>
      <c r="X4" s="42"/>
    </row>
    <row r="5" spans="1:24" ht="15.75" thickBot="1" x14ac:dyDescent="0.3">
      <c r="A5" s="3">
        <v>1</v>
      </c>
      <c r="B5" s="29">
        <v>42928</v>
      </c>
      <c r="C5" s="28" t="s">
        <v>23</v>
      </c>
      <c r="D5" s="28"/>
      <c r="E5" s="28"/>
      <c r="F5" s="28"/>
      <c r="G5" s="28"/>
      <c r="H5" s="28"/>
      <c r="I5" s="28">
        <v>1</v>
      </c>
      <c r="J5" s="33" t="s">
        <v>108</v>
      </c>
      <c r="K5" s="33" t="s">
        <v>107</v>
      </c>
      <c r="L5" s="28" t="s">
        <v>20</v>
      </c>
      <c r="M5" s="28" t="s">
        <v>20</v>
      </c>
      <c r="N5" s="28" t="s">
        <v>25</v>
      </c>
      <c r="O5" s="28" t="s">
        <v>25</v>
      </c>
      <c r="P5" s="28" t="s">
        <v>25</v>
      </c>
      <c r="Q5" s="28" t="s">
        <v>27</v>
      </c>
      <c r="R5" s="28" t="s">
        <v>20</v>
      </c>
      <c r="S5" s="28" t="s">
        <v>25</v>
      </c>
      <c r="U5" s="146" t="s">
        <v>47</v>
      </c>
      <c r="V5" s="147"/>
      <c r="W5" s="18">
        <f>SUM(W2:W4)</f>
        <v>35</v>
      </c>
      <c r="X5" s="42"/>
    </row>
    <row r="6" spans="1:24" x14ac:dyDescent="0.25">
      <c r="A6" s="3">
        <v>2</v>
      </c>
      <c r="B6" s="29">
        <v>42927</v>
      </c>
      <c r="C6" s="28" t="s">
        <v>23</v>
      </c>
      <c r="D6" s="28"/>
      <c r="E6" s="28"/>
      <c r="F6" s="28"/>
      <c r="G6" s="28">
        <v>1</v>
      </c>
      <c r="H6" s="28"/>
      <c r="I6" s="28"/>
      <c r="J6" s="33" t="s">
        <v>108</v>
      </c>
      <c r="K6" s="33" t="s">
        <v>107</v>
      </c>
      <c r="L6" s="28" t="s">
        <v>20</v>
      </c>
      <c r="M6" s="28" t="s">
        <v>20</v>
      </c>
      <c r="N6" s="28" t="s">
        <v>20</v>
      </c>
      <c r="O6" s="28" t="s">
        <v>20</v>
      </c>
      <c r="P6" s="28" t="s">
        <v>25</v>
      </c>
      <c r="Q6" s="28" t="s">
        <v>26</v>
      </c>
      <c r="R6" s="28" t="s">
        <v>25</v>
      </c>
      <c r="S6" s="28" t="s">
        <v>25</v>
      </c>
      <c r="U6" s="140" t="s">
        <v>3</v>
      </c>
      <c r="V6" s="11" t="s">
        <v>4</v>
      </c>
      <c r="W6" s="14">
        <f>+COUNTIF(D5:D65,"1")</f>
        <v>14</v>
      </c>
      <c r="X6" s="42"/>
    </row>
    <row r="7" spans="1:24" x14ac:dyDescent="0.25">
      <c r="A7" s="3">
        <v>3</v>
      </c>
      <c r="B7" s="29">
        <v>42927</v>
      </c>
      <c r="C7" s="28" t="s">
        <v>23</v>
      </c>
      <c r="D7" s="28"/>
      <c r="E7" s="28"/>
      <c r="F7" s="28"/>
      <c r="G7" s="28"/>
      <c r="H7" s="28"/>
      <c r="I7" s="28">
        <v>1</v>
      </c>
      <c r="J7" s="33" t="s">
        <v>108</v>
      </c>
      <c r="K7" s="33" t="s">
        <v>107</v>
      </c>
      <c r="L7" s="28" t="s">
        <v>20</v>
      </c>
      <c r="M7" s="28" t="s">
        <v>20</v>
      </c>
      <c r="N7" s="28" t="s">
        <v>25</v>
      </c>
      <c r="O7" s="28" t="s">
        <v>20</v>
      </c>
      <c r="P7" s="28" t="s">
        <v>25</v>
      </c>
      <c r="Q7" s="28" t="s">
        <v>27</v>
      </c>
      <c r="R7" s="28" t="s">
        <v>20</v>
      </c>
      <c r="S7" s="28" t="s">
        <v>25</v>
      </c>
      <c r="U7" s="141"/>
      <c r="V7" s="8" t="s">
        <v>5</v>
      </c>
      <c r="W7" s="15">
        <f>+COUNTIF(E5:E65,"1")</f>
        <v>0</v>
      </c>
      <c r="X7" s="42"/>
    </row>
    <row r="8" spans="1:24" x14ac:dyDescent="0.25">
      <c r="A8" s="3">
        <v>4</v>
      </c>
      <c r="B8" s="29">
        <v>42930</v>
      </c>
      <c r="C8" s="28" t="s">
        <v>30</v>
      </c>
      <c r="D8" s="28">
        <v>1</v>
      </c>
      <c r="E8" s="28"/>
      <c r="F8" s="28"/>
      <c r="G8" s="28"/>
      <c r="H8" s="28"/>
      <c r="I8" s="28"/>
      <c r="J8" s="33" t="s">
        <v>108</v>
      </c>
      <c r="K8" s="33" t="s">
        <v>107</v>
      </c>
      <c r="L8" s="28" t="s">
        <v>20</v>
      </c>
      <c r="M8" s="28" t="s">
        <v>20</v>
      </c>
      <c r="N8" s="28" t="s">
        <v>25</v>
      </c>
      <c r="O8" s="28" t="s">
        <v>20</v>
      </c>
      <c r="P8" s="28" t="s">
        <v>20</v>
      </c>
      <c r="Q8" s="28" t="s">
        <v>27</v>
      </c>
      <c r="R8" s="28" t="s">
        <v>25</v>
      </c>
      <c r="S8" s="28" t="s">
        <v>25</v>
      </c>
      <c r="T8" s="30"/>
      <c r="U8" s="141"/>
      <c r="V8" s="6" t="s">
        <v>6</v>
      </c>
      <c r="W8" s="15">
        <f>+COUNTIF(F5:F41,"1")</f>
        <v>1</v>
      </c>
      <c r="X8" s="42"/>
    </row>
    <row r="9" spans="1:24" x14ac:dyDescent="0.25">
      <c r="A9" s="3">
        <v>5</v>
      </c>
      <c r="B9" s="29">
        <v>42930</v>
      </c>
      <c r="C9" s="28" t="s">
        <v>30</v>
      </c>
      <c r="D9" s="28">
        <v>1</v>
      </c>
      <c r="E9" s="28"/>
      <c r="F9" s="28"/>
      <c r="G9" s="28"/>
      <c r="H9" s="28"/>
      <c r="I9" s="28"/>
      <c r="J9" s="33" t="s">
        <v>108</v>
      </c>
      <c r="K9" s="33" t="s">
        <v>107</v>
      </c>
      <c r="L9" s="28" t="s">
        <v>20</v>
      </c>
      <c r="M9" s="28" t="s">
        <v>20</v>
      </c>
      <c r="N9" s="28" t="s">
        <v>25</v>
      </c>
      <c r="O9" s="28" t="s">
        <v>25</v>
      </c>
      <c r="P9" s="28" t="s">
        <v>25</v>
      </c>
      <c r="Q9" s="28" t="s">
        <v>27</v>
      </c>
      <c r="R9" s="28" t="s">
        <v>20</v>
      </c>
      <c r="S9" s="28" t="s">
        <v>25</v>
      </c>
      <c r="U9" s="141"/>
      <c r="V9" s="8" t="s">
        <v>7</v>
      </c>
      <c r="W9" s="15">
        <f>+COUNTIF(G5:G65,"1")</f>
        <v>1</v>
      </c>
      <c r="X9" s="42"/>
    </row>
    <row r="10" spans="1:24" x14ac:dyDescent="0.25">
      <c r="A10" s="3">
        <v>6</v>
      </c>
      <c r="B10" s="29">
        <v>42930</v>
      </c>
      <c r="C10" s="28" t="s">
        <v>23</v>
      </c>
      <c r="D10" s="28">
        <v>1</v>
      </c>
      <c r="E10" s="28"/>
      <c r="F10" s="28"/>
      <c r="G10" s="28"/>
      <c r="H10" s="28"/>
      <c r="I10" s="28"/>
      <c r="J10" s="33" t="s">
        <v>108</v>
      </c>
      <c r="K10" s="33" t="s">
        <v>107</v>
      </c>
      <c r="L10" s="28" t="s">
        <v>20</v>
      </c>
      <c r="M10" s="28" t="s">
        <v>20</v>
      </c>
      <c r="N10" s="28" t="s">
        <v>25</v>
      </c>
      <c r="O10" s="28" t="s">
        <v>25</v>
      </c>
      <c r="P10" s="28" t="s">
        <v>25</v>
      </c>
      <c r="Q10" s="28" t="s">
        <v>27</v>
      </c>
      <c r="R10" s="28" t="s">
        <v>25</v>
      </c>
      <c r="S10" s="28" t="s">
        <v>25</v>
      </c>
      <c r="U10" s="141"/>
      <c r="V10" s="8" t="s">
        <v>8</v>
      </c>
      <c r="W10" s="15">
        <f>+COUNTIF(H5:H65,"1")</f>
        <v>6</v>
      </c>
      <c r="X10" s="42"/>
    </row>
    <row r="11" spans="1:24" x14ac:dyDescent="0.25">
      <c r="A11" s="3">
        <v>7</v>
      </c>
      <c r="B11" s="29">
        <v>42930</v>
      </c>
      <c r="C11" s="28" t="s">
        <v>30</v>
      </c>
      <c r="D11" s="28">
        <v>1</v>
      </c>
      <c r="E11" s="28"/>
      <c r="F11" s="28"/>
      <c r="G11" s="28"/>
      <c r="H11" s="28"/>
      <c r="I11" s="28"/>
      <c r="J11" s="33" t="s">
        <v>108</v>
      </c>
      <c r="K11" s="33" t="s">
        <v>107</v>
      </c>
      <c r="L11" s="28" t="s">
        <v>20</v>
      </c>
      <c r="M11" s="28" t="s">
        <v>20</v>
      </c>
      <c r="N11" s="28" t="s">
        <v>20</v>
      </c>
      <c r="O11" s="28" t="s">
        <v>20</v>
      </c>
      <c r="P11" s="28" t="s">
        <v>25</v>
      </c>
      <c r="Q11" s="28" t="s">
        <v>28</v>
      </c>
      <c r="R11" s="28" t="s">
        <v>20</v>
      </c>
      <c r="S11" s="28" t="s">
        <v>20</v>
      </c>
      <c r="U11" s="141"/>
      <c r="V11" s="22" t="s">
        <v>9</v>
      </c>
      <c r="W11" s="23">
        <f>+COUNTIF(I5:I65,"1")</f>
        <v>6</v>
      </c>
      <c r="X11" s="42"/>
    </row>
    <row r="12" spans="1:24" ht="15.75" thickBot="1" x14ac:dyDescent="0.3">
      <c r="A12" s="3">
        <v>8</v>
      </c>
      <c r="B12" s="29">
        <v>42930</v>
      </c>
      <c r="C12" s="28" t="s">
        <v>30</v>
      </c>
      <c r="D12" s="28">
        <v>1</v>
      </c>
      <c r="E12" s="28"/>
      <c r="F12" s="28"/>
      <c r="G12" s="28"/>
      <c r="H12" s="28"/>
      <c r="I12" s="28"/>
      <c r="J12" s="33" t="s">
        <v>108</v>
      </c>
      <c r="K12" s="33" t="s">
        <v>107</v>
      </c>
      <c r="L12" s="28" t="s">
        <v>20</v>
      </c>
      <c r="M12" s="28" t="s">
        <v>20</v>
      </c>
      <c r="N12" s="28" t="s">
        <v>25</v>
      </c>
      <c r="O12" s="28" t="s">
        <v>20</v>
      </c>
      <c r="P12" s="28" t="s">
        <v>20</v>
      </c>
      <c r="Q12" s="28" t="s">
        <v>26</v>
      </c>
      <c r="R12" s="28" t="s">
        <v>25</v>
      </c>
      <c r="S12" s="28" t="s">
        <v>20</v>
      </c>
      <c r="U12" s="141"/>
      <c r="V12" s="34" t="s">
        <v>29</v>
      </c>
      <c r="W12" s="23">
        <f>+COUNTIF(I5:I65,"Blanco")</f>
        <v>7</v>
      </c>
      <c r="X12" s="42"/>
    </row>
    <row r="13" spans="1:24" x14ac:dyDescent="0.25">
      <c r="A13" s="3">
        <v>9</v>
      </c>
      <c r="B13" s="29">
        <v>42930</v>
      </c>
      <c r="C13" s="28" t="s">
        <v>30</v>
      </c>
      <c r="D13" s="28">
        <v>1</v>
      </c>
      <c r="E13" s="28"/>
      <c r="F13" s="28"/>
      <c r="G13" s="28"/>
      <c r="H13" s="28"/>
      <c r="I13" s="28"/>
      <c r="J13" s="33" t="s">
        <v>108</v>
      </c>
      <c r="K13" s="33" t="s">
        <v>107</v>
      </c>
      <c r="L13" s="28" t="s">
        <v>20</v>
      </c>
      <c r="M13" s="28" t="s">
        <v>25</v>
      </c>
      <c r="N13" s="28" t="s">
        <v>20</v>
      </c>
      <c r="O13" s="28" t="s">
        <v>20</v>
      </c>
      <c r="P13" s="28" t="s">
        <v>20</v>
      </c>
      <c r="Q13" s="28" t="s">
        <v>26</v>
      </c>
      <c r="R13" s="28" t="s">
        <v>20</v>
      </c>
      <c r="S13" s="28" t="s">
        <v>20</v>
      </c>
      <c r="U13" s="137" t="s">
        <v>35</v>
      </c>
      <c r="V13" s="19" t="s">
        <v>105</v>
      </c>
      <c r="W13" s="14">
        <f>+COUNTIF(K5:K65,"El Porvenir")</f>
        <v>10</v>
      </c>
      <c r="X13" s="42"/>
    </row>
    <row r="14" spans="1:24" x14ac:dyDescent="0.25">
      <c r="A14" s="3">
        <v>10</v>
      </c>
      <c r="B14" s="29">
        <v>42930</v>
      </c>
      <c r="C14" s="28" t="s">
        <v>23</v>
      </c>
      <c r="D14" s="28">
        <v>1</v>
      </c>
      <c r="E14" s="28"/>
      <c r="F14" s="28"/>
      <c r="G14" s="28"/>
      <c r="H14" s="28"/>
      <c r="I14" s="28"/>
      <c r="J14" s="33" t="s">
        <v>108</v>
      </c>
      <c r="K14" s="33" t="s">
        <v>107</v>
      </c>
      <c r="L14" s="28" t="s">
        <v>20</v>
      </c>
      <c r="M14" s="28" t="s">
        <v>20</v>
      </c>
      <c r="N14" s="28" t="s">
        <v>20</v>
      </c>
      <c r="O14" s="28" t="s">
        <v>25</v>
      </c>
      <c r="P14" s="28" t="s">
        <v>20</v>
      </c>
      <c r="Q14" s="28" t="s">
        <v>27</v>
      </c>
      <c r="R14" s="28" t="s">
        <v>20</v>
      </c>
      <c r="S14" s="28" t="s">
        <v>20</v>
      </c>
      <c r="U14" s="109"/>
      <c r="V14" s="6" t="s">
        <v>106</v>
      </c>
      <c r="W14" s="15">
        <f>+COUNTIF(K5:K65,"Jutiapa")</f>
        <v>10</v>
      </c>
      <c r="X14" s="42"/>
    </row>
    <row r="15" spans="1:24" x14ac:dyDescent="0.25">
      <c r="A15" s="3">
        <v>11</v>
      </c>
      <c r="B15" s="29">
        <v>42930</v>
      </c>
      <c r="C15" s="28" t="s">
        <v>30</v>
      </c>
      <c r="D15" s="28">
        <v>1</v>
      </c>
      <c r="E15" s="28"/>
      <c r="F15" s="28"/>
      <c r="G15" s="28"/>
      <c r="H15" s="28"/>
      <c r="I15" s="28"/>
      <c r="J15" s="33" t="s">
        <v>108</v>
      </c>
      <c r="K15" s="33" t="s">
        <v>107</v>
      </c>
      <c r="L15" s="28" t="s">
        <v>20</v>
      </c>
      <c r="M15" s="28" t="s">
        <v>20</v>
      </c>
      <c r="N15" s="28" t="s">
        <v>20</v>
      </c>
      <c r="O15" s="28" t="s">
        <v>20</v>
      </c>
      <c r="P15" s="28" t="s">
        <v>25</v>
      </c>
      <c r="Q15" s="28" t="s">
        <v>26</v>
      </c>
      <c r="R15" s="28" t="s">
        <v>20</v>
      </c>
      <c r="S15" s="28" t="s">
        <v>25</v>
      </c>
      <c r="U15" s="109"/>
      <c r="V15" s="35" t="s">
        <v>107</v>
      </c>
      <c r="W15" s="15">
        <f>+COUNTIF(K5:K65,"La Ceiba")</f>
        <v>15</v>
      </c>
      <c r="X15" s="42"/>
    </row>
    <row r="16" spans="1:24" x14ac:dyDescent="0.25">
      <c r="A16" s="3">
        <v>12</v>
      </c>
      <c r="B16" s="29">
        <v>42930</v>
      </c>
      <c r="C16" s="28" t="s">
        <v>30</v>
      </c>
      <c r="D16" s="28">
        <v>1</v>
      </c>
      <c r="E16" s="28"/>
      <c r="F16" s="28"/>
      <c r="G16" s="28"/>
      <c r="H16" s="28"/>
      <c r="I16" s="28"/>
      <c r="J16" s="33" t="s">
        <v>108</v>
      </c>
      <c r="K16" s="33" t="s">
        <v>107</v>
      </c>
      <c r="L16" s="28" t="s">
        <v>20</v>
      </c>
      <c r="M16" s="28" t="s">
        <v>20</v>
      </c>
      <c r="N16" s="28" t="s">
        <v>20</v>
      </c>
      <c r="O16" s="28" t="s">
        <v>25</v>
      </c>
      <c r="P16" s="28" t="s">
        <v>25</v>
      </c>
      <c r="Q16" s="28" t="s">
        <v>28</v>
      </c>
      <c r="R16" s="28" t="s">
        <v>20</v>
      </c>
      <c r="S16" s="28" t="s">
        <v>20</v>
      </c>
      <c r="U16" s="109"/>
      <c r="V16" s="6"/>
      <c r="W16" s="15"/>
      <c r="X16" s="42"/>
    </row>
    <row r="17" spans="1:50" x14ac:dyDescent="0.25">
      <c r="A17" s="3">
        <v>13</v>
      </c>
      <c r="B17" s="29">
        <v>42930</v>
      </c>
      <c r="C17" s="20" t="s">
        <v>29</v>
      </c>
      <c r="D17" s="28">
        <v>1</v>
      </c>
      <c r="E17" s="28"/>
      <c r="F17" s="28"/>
      <c r="G17" s="28"/>
      <c r="H17" s="28"/>
      <c r="I17" s="28"/>
      <c r="J17" s="33" t="s">
        <v>108</v>
      </c>
      <c r="K17" s="33" t="s">
        <v>107</v>
      </c>
      <c r="L17" s="28" t="s">
        <v>20</v>
      </c>
      <c r="M17" s="28" t="s">
        <v>20</v>
      </c>
      <c r="N17" s="28" t="s">
        <v>25</v>
      </c>
      <c r="O17" s="28" t="s">
        <v>25</v>
      </c>
      <c r="P17" s="28" t="s">
        <v>20</v>
      </c>
      <c r="Q17" s="28" t="s">
        <v>27</v>
      </c>
      <c r="R17" s="28" t="s">
        <v>20</v>
      </c>
      <c r="S17" s="28" t="s">
        <v>20</v>
      </c>
      <c r="U17" s="138"/>
      <c r="V17" s="34"/>
      <c r="W17" s="15"/>
      <c r="X17" s="42"/>
    </row>
    <row r="18" spans="1:50" ht="15.75" thickBot="1" x14ac:dyDescent="0.3">
      <c r="A18" s="3">
        <v>14</v>
      </c>
      <c r="B18" s="29">
        <v>42930</v>
      </c>
      <c r="C18" s="28" t="s">
        <v>23</v>
      </c>
      <c r="D18" s="28">
        <v>1</v>
      </c>
      <c r="E18" s="28"/>
      <c r="F18" s="28"/>
      <c r="G18" s="28"/>
      <c r="H18" s="28"/>
      <c r="I18" s="28"/>
      <c r="J18" s="33" t="s">
        <v>108</v>
      </c>
      <c r="K18" s="33" t="s">
        <v>107</v>
      </c>
      <c r="L18" s="28" t="s">
        <v>20</v>
      </c>
      <c r="M18" s="28" t="s">
        <v>20</v>
      </c>
      <c r="N18" s="28" t="s">
        <v>25</v>
      </c>
      <c r="O18" s="28" t="s">
        <v>20</v>
      </c>
      <c r="P18" s="28" t="s">
        <v>20</v>
      </c>
      <c r="Q18" s="28" t="s">
        <v>26</v>
      </c>
      <c r="R18" s="28" t="s">
        <v>20</v>
      </c>
      <c r="S18" s="28" t="s">
        <v>20</v>
      </c>
      <c r="U18" s="110"/>
      <c r="V18" s="26"/>
      <c r="W18" s="16"/>
      <c r="X18" s="42"/>
    </row>
    <row r="19" spans="1:50" ht="15" customHeight="1" x14ac:dyDescent="0.25">
      <c r="A19" s="3">
        <v>15</v>
      </c>
      <c r="B19" s="29">
        <v>42930</v>
      </c>
      <c r="C19" s="28" t="s">
        <v>23</v>
      </c>
      <c r="D19" s="28"/>
      <c r="E19" s="28"/>
      <c r="F19" s="28"/>
      <c r="G19" s="28"/>
      <c r="H19" s="28">
        <v>1</v>
      </c>
      <c r="I19" s="28"/>
      <c r="J19" s="33" t="s">
        <v>108</v>
      </c>
      <c r="K19" s="33" t="s">
        <v>107</v>
      </c>
      <c r="L19" s="28" t="s">
        <v>20</v>
      </c>
      <c r="M19" s="28" t="s">
        <v>20</v>
      </c>
      <c r="N19" s="28" t="s">
        <v>20</v>
      </c>
      <c r="O19" s="28" t="s">
        <v>25</v>
      </c>
      <c r="P19" s="20" t="s">
        <v>29</v>
      </c>
      <c r="Q19" s="20" t="s">
        <v>34</v>
      </c>
      <c r="R19" s="28" t="s">
        <v>25</v>
      </c>
      <c r="S19" s="28" t="s">
        <v>20</v>
      </c>
      <c r="U19" s="139" t="s">
        <v>36</v>
      </c>
      <c r="V19" s="10" t="s">
        <v>20</v>
      </c>
      <c r="W19" s="43">
        <f>+COUNTIF(L5:L65,"Si")</f>
        <v>31</v>
      </c>
      <c r="X19" s="125" t="s">
        <v>118</v>
      </c>
      <c r="Y19" s="48" t="s">
        <v>114</v>
      </c>
      <c r="Z19" s="49">
        <f>COUNTIFS(C5:$C$65,"M",L5:L65,"Si")</f>
        <v>14</v>
      </c>
      <c r="AA19" s="125" t="s">
        <v>117</v>
      </c>
      <c r="AB19" s="48" t="s">
        <v>114</v>
      </c>
      <c r="AC19" s="55">
        <f>COUNTIFS(C5:$C$65,"M",L5:L65,"No")</f>
        <v>1</v>
      </c>
      <c r="AD19" s="125" t="s">
        <v>118</v>
      </c>
      <c r="AE19" s="48" t="s">
        <v>4</v>
      </c>
      <c r="AF19" s="48">
        <f>COUNTIFS($D$5:$D$65,"1",$L$5:$L$65,"Si")</f>
        <v>14</v>
      </c>
      <c r="AG19" s="48" t="s">
        <v>7</v>
      </c>
      <c r="AH19" s="48">
        <f>COUNTIFS($G$5:$G$65,"1",$L$5:$L$65,"Si")</f>
        <v>1</v>
      </c>
      <c r="AI19" s="48" t="s">
        <v>29</v>
      </c>
      <c r="AJ19" s="49">
        <f>COUNTIFS($I$5:$I$65,"Blanco",$L$5:$L$65,"Si")</f>
        <v>5</v>
      </c>
      <c r="AK19" s="50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x14ac:dyDescent="0.25">
      <c r="A20" s="3">
        <v>16</v>
      </c>
      <c r="B20" s="29">
        <v>42928</v>
      </c>
      <c r="C20" s="28" t="s">
        <v>30</v>
      </c>
      <c r="D20" s="28"/>
      <c r="E20" s="28"/>
      <c r="F20" s="28"/>
      <c r="G20" s="28"/>
      <c r="H20" s="28">
        <v>1</v>
      </c>
      <c r="I20" s="28"/>
      <c r="J20" s="33" t="s">
        <v>108</v>
      </c>
      <c r="K20" s="33" t="s">
        <v>106</v>
      </c>
      <c r="L20" s="28" t="s">
        <v>20</v>
      </c>
      <c r="M20" s="28" t="s">
        <v>20</v>
      </c>
      <c r="N20" s="28" t="s">
        <v>20</v>
      </c>
      <c r="O20" s="28" t="s">
        <v>20</v>
      </c>
      <c r="P20" s="28" t="s">
        <v>20</v>
      </c>
      <c r="Q20" s="28" t="s">
        <v>27</v>
      </c>
      <c r="R20" s="28" t="s">
        <v>20</v>
      </c>
      <c r="S20" s="28" t="s">
        <v>20</v>
      </c>
      <c r="U20" s="109"/>
      <c r="V20" s="9" t="s">
        <v>25</v>
      </c>
      <c r="W20" s="44">
        <f>+COUNTIF(L5:L65,"No")</f>
        <v>4</v>
      </c>
      <c r="X20" s="126"/>
      <c r="Y20" s="6" t="s">
        <v>115</v>
      </c>
      <c r="Z20" s="51">
        <f>COUNTIFS(C5:$C$65,"F",L5:L65,"Si")</f>
        <v>12</v>
      </c>
      <c r="AA20" s="126"/>
      <c r="AB20" s="6" t="s">
        <v>115</v>
      </c>
      <c r="AC20" s="57">
        <f>COUNTIFS(C5:$C$65,"F",L5:L65,"No")</f>
        <v>0</v>
      </c>
      <c r="AD20" s="126"/>
      <c r="AE20" s="6" t="s">
        <v>5</v>
      </c>
      <c r="AF20" s="6">
        <f>COUNTIFS($E$5:$E$65,"1",$L$5:$L$65,"Si")</f>
        <v>0</v>
      </c>
      <c r="AG20" s="39" t="s">
        <v>8</v>
      </c>
      <c r="AH20" s="6">
        <f>COUNTIFS($H$5:$H$65,"1",$L$5:$L$65,"Si")</f>
        <v>5</v>
      </c>
      <c r="AI20" s="6"/>
      <c r="AJ20" s="51"/>
      <c r="AK20" s="50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5.75" thickBot="1" x14ac:dyDescent="0.3">
      <c r="A21" s="3">
        <v>17</v>
      </c>
      <c r="B21" s="29">
        <v>42928</v>
      </c>
      <c r="C21" s="28" t="s">
        <v>23</v>
      </c>
      <c r="D21" s="28"/>
      <c r="E21" s="28"/>
      <c r="F21" s="28"/>
      <c r="G21" s="28"/>
      <c r="H21" s="28"/>
      <c r="I21" s="20" t="s">
        <v>29</v>
      </c>
      <c r="J21" s="33" t="s">
        <v>108</v>
      </c>
      <c r="K21" s="33" t="s">
        <v>106</v>
      </c>
      <c r="L21" s="28" t="s">
        <v>20</v>
      </c>
      <c r="M21" s="28" t="s">
        <v>25</v>
      </c>
      <c r="N21" s="28" t="s">
        <v>25</v>
      </c>
      <c r="O21" s="28" t="s">
        <v>25</v>
      </c>
      <c r="P21" s="28" t="s">
        <v>20</v>
      </c>
      <c r="Q21" s="28" t="s">
        <v>28</v>
      </c>
      <c r="R21" s="28" t="s">
        <v>20</v>
      </c>
      <c r="S21" s="28" t="s">
        <v>20</v>
      </c>
      <c r="U21" s="110"/>
      <c r="V21" s="13" t="s">
        <v>29</v>
      </c>
      <c r="W21" s="45">
        <f>+COUNTIF(L5:L65,"Blanco")</f>
        <v>0</v>
      </c>
      <c r="X21" s="127"/>
      <c r="Y21" s="26" t="s">
        <v>29</v>
      </c>
      <c r="Z21" s="52">
        <f>COUNTIFS(C5:$C$65,"Blanco",L5:L65,"Si")</f>
        <v>5</v>
      </c>
      <c r="AA21" s="127"/>
      <c r="AB21" s="26" t="s">
        <v>29</v>
      </c>
      <c r="AC21" s="58">
        <f>COUNTIFS(C5:$C$65,"Blanco",L5:L65,"No")</f>
        <v>3</v>
      </c>
      <c r="AD21" s="127"/>
      <c r="AE21" s="26" t="s">
        <v>6</v>
      </c>
      <c r="AF21" s="26">
        <f>COUNTIFS($F$5:$F$65,"1",$L$5:$L$65,"Si")</f>
        <v>1</v>
      </c>
      <c r="AG21" s="26" t="s">
        <v>9</v>
      </c>
      <c r="AH21" s="26">
        <f>COUNTIFS($I$5:$I$65,"1",$L$5:$L$65,"Si")</f>
        <v>5</v>
      </c>
      <c r="AI21" s="26"/>
      <c r="AJ21" s="52"/>
      <c r="AK21" s="50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15" customHeight="1" x14ac:dyDescent="0.25">
      <c r="A22" s="3">
        <v>18</v>
      </c>
      <c r="B22" s="29">
        <v>42928</v>
      </c>
      <c r="C22" s="28" t="s">
        <v>30</v>
      </c>
      <c r="D22" s="28"/>
      <c r="E22" s="28"/>
      <c r="F22" s="28"/>
      <c r="G22" s="28"/>
      <c r="H22" s="28"/>
      <c r="I22" s="20" t="s">
        <v>29</v>
      </c>
      <c r="J22" s="33" t="s">
        <v>108</v>
      </c>
      <c r="K22" s="33" t="s">
        <v>106</v>
      </c>
      <c r="L22" s="28" t="s">
        <v>20</v>
      </c>
      <c r="M22" s="28" t="s">
        <v>25</v>
      </c>
      <c r="N22" s="28" t="s">
        <v>25</v>
      </c>
      <c r="O22" s="28" t="s">
        <v>25</v>
      </c>
      <c r="P22" s="28" t="s">
        <v>20</v>
      </c>
      <c r="Q22" s="28" t="s">
        <v>28</v>
      </c>
      <c r="R22" s="28" t="s">
        <v>25</v>
      </c>
      <c r="S22" s="28" t="s">
        <v>25</v>
      </c>
      <c r="U22" s="137" t="s">
        <v>37</v>
      </c>
      <c r="V22" s="12" t="s">
        <v>20</v>
      </c>
      <c r="W22" s="46">
        <f>+COUNTIF(M5:M65,"Si")</f>
        <v>29</v>
      </c>
      <c r="X22" s="125" t="s">
        <v>118</v>
      </c>
      <c r="Y22" s="48" t="s">
        <v>114</v>
      </c>
      <c r="Z22" s="49">
        <f>COUNTIFS(C5:$C$65,"M",M5:M65,"Si")</f>
        <v>12</v>
      </c>
      <c r="AA22" s="125" t="s">
        <v>117</v>
      </c>
      <c r="AB22" s="48" t="s">
        <v>114</v>
      </c>
      <c r="AC22" s="55">
        <f>COUNTIFS(C5:$C$65,"M",M5:M65,"No")</f>
        <v>3</v>
      </c>
      <c r="AD22" s="132" t="s">
        <v>118</v>
      </c>
      <c r="AE22" s="61" t="s">
        <v>4</v>
      </c>
      <c r="AF22" s="48">
        <f>COUNTIFS($D$5:$D$65,"1",$M$5:$M$65,"Si")</f>
        <v>13</v>
      </c>
      <c r="AG22" s="61" t="s">
        <v>7</v>
      </c>
      <c r="AH22" s="48">
        <f>COUNTIFS($G$5:$G$65,"1",$M$5:$M$65,"Si")</f>
        <v>1</v>
      </c>
      <c r="AI22" s="61" t="s">
        <v>29</v>
      </c>
      <c r="AJ22" s="49">
        <f>COUNTIFS($I$5:$I$65,"Blanco",$M$5:$M$65,"Si")</f>
        <v>4</v>
      </c>
      <c r="AK22" s="50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x14ac:dyDescent="0.25">
      <c r="A23" s="3">
        <v>19</v>
      </c>
      <c r="B23" s="29">
        <v>42928</v>
      </c>
      <c r="C23" s="28" t="s">
        <v>30</v>
      </c>
      <c r="D23" s="28">
        <v>1</v>
      </c>
      <c r="E23" s="28"/>
      <c r="F23" s="28"/>
      <c r="G23" s="28"/>
      <c r="H23" s="28"/>
      <c r="I23" s="28"/>
      <c r="J23" s="33" t="s">
        <v>108</v>
      </c>
      <c r="K23" s="33" t="s">
        <v>106</v>
      </c>
      <c r="L23" s="28" t="s">
        <v>20</v>
      </c>
      <c r="M23" s="28" t="s">
        <v>20</v>
      </c>
      <c r="N23" s="28" t="s">
        <v>25</v>
      </c>
      <c r="O23" s="28" t="s">
        <v>25</v>
      </c>
      <c r="P23" s="28" t="s">
        <v>25</v>
      </c>
      <c r="Q23" s="28" t="s">
        <v>28</v>
      </c>
      <c r="R23" s="28" t="s">
        <v>25</v>
      </c>
      <c r="S23" s="28" t="s">
        <v>20</v>
      </c>
      <c r="U23" s="109"/>
      <c r="V23" s="9" t="s">
        <v>25</v>
      </c>
      <c r="W23" s="44">
        <f>+COUNTIF(M5:M65,"No")</f>
        <v>6</v>
      </c>
      <c r="X23" s="126"/>
      <c r="Y23" s="6" t="s">
        <v>115</v>
      </c>
      <c r="Z23" s="51">
        <f>COUNTIFS(C5:$C$65,"F",M5:M65,"Si")</f>
        <v>11</v>
      </c>
      <c r="AA23" s="126"/>
      <c r="AB23" s="6" t="s">
        <v>115</v>
      </c>
      <c r="AC23" s="57">
        <f>COUNTIFS(C5:$C$65,"F",M5:M65,"No")</f>
        <v>1</v>
      </c>
      <c r="AD23" s="126"/>
      <c r="AE23" s="6" t="s">
        <v>5</v>
      </c>
      <c r="AF23" s="6">
        <f>COUNTIFS($E$5:$E$65,"1",$M$5:$M$65,"Si")</f>
        <v>0</v>
      </c>
      <c r="AG23" s="39" t="s">
        <v>8</v>
      </c>
      <c r="AH23" s="6">
        <f>COUNTIFS($H$5:$H$65,"1",$M$5:$M$65,"Si")</f>
        <v>4</v>
      </c>
      <c r="AI23" s="6"/>
      <c r="AJ23" s="51"/>
      <c r="AK23" s="50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5.75" thickBot="1" x14ac:dyDescent="0.3">
      <c r="A24" s="3">
        <v>20</v>
      </c>
      <c r="B24" s="29">
        <v>42928</v>
      </c>
      <c r="C24" s="28" t="s">
        <v>23</v>
      </c>
      <c r="D24" s="28"/>
      <c r="E24" s="28"/>
      <c r="F24" s="28"/>
      <c r="G24" s="28"/>
      <c r="H24" s="28"/>
      <c r="I24" s="20" t="s">
        <v>29</v>
      </c>
      <c r="J24" s="33" t="s">
        <v>108</v>
      </c>
      <c r="K24" s="33" t="s">
        <v>106</v>
      </c>
      <c r="L24" s="28" t="s">
        <v>20</v>
      </c>
      <c r="M24" s="28" t="s">
        <v>20</v>
      </c>
      <c r="N24" s="28" t="s">
        <v>20</v>
      </c>
      <c r="O24" s="28" t="s">
        <v>20</v>
      </c>
      <c r="P24" s="28" t="s">
        <v>20</v>
      </c>
      <c r="Q24" s="28" t="s">
        <v>27</v>
      </c>
      <c r="R24" s="28" t="s">
        <v>20</v>
      </c>
      <c r="S24" s="28" t="s">
        <v>20</v>
      </c>
      <c r="U24" s="110"/>
      <c r="V24" s="13" t="s">
        <v>29</v>
      </c>
      <c r="W24" s="45">
        <f>+COUNTIF(M5:M65,"Blanco")</f>
        <v>0</v>
      </c>
      <c r="X24" s="127"/>
      <c r="Y24" s="26" t="s">
        <v>29</v>
      </c>
      <c r="Z24" s="52">
        <f>COUNTIFS(C5:$C$65,"Blanco",M5:M65,"Si")</f>
        <v>6</v>
      </c>
      <c r="AA24" s="127"/>
      <c r="AB24" s="26" t="s">
        <v>29</v>
      </c>
      <c r="AC24" s="58">
        <f>COUNTIFS(C5:$C$65,"Blanco",M5:M65,"No")</f>
        <v>2</v>
      </c>
      <c r="AD24" s="127"/>
      <c r="AE24" s="26" t="s">
        <v>6</v>
      </c>
      <c r="AF24" s="26">
        <f>COUNTIFS($F$5:$F$65,"1",$M$5:$M$65,"Si")</f>
        <v>1</v>
      </c>
      <c r="AG24" s="26" t="s">
        <v>9</v>
      </c>
      <c r="AH24" s="26">
        <f>COUNTIFS($I$5:$I$65,"1",$M$5:$M$65,"Si")</f>
        <v>6</v>
      </c>
      <c r="AI24" s="26"/>
      <c r="AJ24" s="52"/>
      <c r="AK24" s="50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15" customHeight="1" x14ac:dyDescent="0.25">
      <c r="A25" s="3">
        <v>21</v>
      </c>
      <c r="B25" s="29">
        <v>42928</v>
      </c>
      <c r="C25" s="28" t="s">
        <v>30</v>
      </c>
      <c r="D25" s="28"/>
      <c r="E25" s="28"/>
      <c r="F25" s="28"/>
      <c r="G25" s="28"/>
      <c r="H25" s="28"/>
      <c r="I25" s="28">
        <v>1</v>
      </c>
      <c r="J25" s="33" t="s">
        <v>108</v>
      </c>
      <c r="K25" s="33" t="s">
        <v>106</v>
      </c>
      <c r="L25" s="28" t="s">
        <v>20</v>
      </c>
      <c r="M25" s="28" t="s">
        <v>20</v>
      </c>
      <c r="N25" s="28" t="s">
        <v>20</v>
      </c>
      <c r="O25" s="28" t="s">
        <v>20</v>
      </c>
      <c r="P25" s="28" t="s">
        <v>20</v>
      </c>
      <c r="Q25" s="28" t="s">
        <v>27</v>
      </c>
      <c r="R25" s="28" t="s">
        <v>20</v>
      </c>
      <c r="S25" s="28" t="s">
        <v>20</v>
      </c>
      <c r="U25" s="137" t="s">
        <v>38</v>
      </c>
      <c r="V25" s="12" t="s">
        <v>20</v>
      </c>
      <c r="W25" s="46">
        <f>+COUNTIF(N5:N65,"Si")</f>
        <v>14</v>
      </c>
      <c r="X25" s="125" t="s">
        <v>118</v>
      </c>
      <c r="Y25" s="48" t="s">
        <v>114</v>
      </c>
      <c r="Z25" s="49">
        <f>COUNTIFS($C$5:$C$65,"M",$N$5:$N$65,"Si")</f>
        <v>8</v>
      </c>
      <c r="AA25" s="125" t="s">
        <v>117</v>
      </c>
      <c r="AB25" s="48" t="s">
        <v>114</v>
      </c>
      <c r="AC25" s="55">
        <f>COUNTIFS($C$5:$C$65,"M",$N$5:$N$65,"No")</f>
        <v>7</v>
      </c>
      <c r="AD25" s="125" t="s">
        <v>117</v>
      </c>
      <c r="AE25" s="48" t="s">
        <v>4</v>
      </c>
      <c r="AF25" s="48">
        <f>COUNTIFS($D$5:$D$65,"1",$N$5:$N$65,"No")</f>
        <v>9</v>
      </c>
      <c r="AG25" s="48" t="s">
        <v>7</v>
      </c>
      <c r="AH25" s="48">
        <f>COUNTIFS($G$5:$G$65,"1",$N$5:$N$65,"No")</f>
        <v>0</v>
      </c>
      <c r="AI25" s="48" t="s">
        <v>29</v>
      </c>
      <c r="AJ25" s="49">
        <f>COUNTIFS($I$5:$I$65,"Blanco",$N$5:$N$65,"No")</f>
        <v>5</v>
      </c>
      <c r="AK25" s="50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x14ac:dyDescent="0.25">
      <c r="A26" s="3">
        <v>22</v>
      </c>
      <c r="B26" s="29">
        <v>42928</v>
      </c>
      <c r="C26" s="28" t="s">
        <v>30</v>
      </c>
      <c r="D26" s="28"/>
      <c r="E26" s="28"/>
      <c r="F26" s="28"/>
      <c r="G26" s="28"/>
      <c r="H26" s="28"/>
      <c r="I26" s="20" t="s">
        <v>29</v>
      </c>
      <c r="J26" s="33" t="s">
        <v>108</v>
      </c>
      <c r="K26" s="33" t="s">
        <v>106</v>
      </c>
      <c r="L26" s="28" t="s">
        <v>20</v>
      </c>
      <c r="M26" s="28" t="s">
        <v>20</v>
      </c>
      <c r="N26" s="28" t="s">
        <v>20</v>
      </c>
      <c r="O26" s="28" t="s">
        <v>25</v>
      </c>
      <c r="P26" s="28" t="s">
        <v>20</v>
      </c>
      <c r="Q26" s="28" t="s">
        <v>26</v>
      </c>
      <c r="R26" s="28" t="s">
        <v>20</v>
      </c>
      <c r="S26" s="28" t="s">
        <v>20</v>
      </c>
      <c r="U26" s="109"/>
      <c r="V26" s="9" t="s">
        <v>25</v>
      </c>
      <c r="W26" s="44">
        <f>+COUNTIF(N5:N65,"No")</f>
        <v>21</v>
      </c>
      <c r="X26" s="126"/>
      <c r="Y26" s="6" t="s">
        <v>115</v>
      </c>
      <c r="Z26" s="51">
        <f>COUNTIFS($C$5:$C$65,"F",$N$5:$N$65,"Si")</f>
        <v>5</v>
      </c>
      <c r="AA26" s="126"/>
      <c r="AB26" s="6" t="s">
        <v>115</v>
      </c>
      <c r="AC26" s="57">
        <f>COUNTIFS($C$5:$C$65,"F",$N$5:$N$65,"No")</f>
        <v>7</v>
      </c>
      <c r="AD26" s="126"/>
      <c r="AE26" s="6" t="s">
        <v>5</v>
      </c>
      <c r="AF26" s="6">
        <f>COUNTIFS($E$5:$E$65,"1",$N$5:$N$65,"No")</f>
        <v>0</v>
      </c>
      <c r="AG26" s="39" t="s">
        <v>8</v>
      </c>
      <c r="AH26" s="6">
        <f>COUNTIFS($H$5:$H$65,"1",$N$5:$N$65,"No")</f>
        <v>3</v>
      </c>
      <c r="AI26" s="6"/>
      <c r="AJ26" s="51"/>
      <c r="AK26" s="50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5.75" thickBot="1" x14ac:dyDescent="0.3">
      <c r="A27" s="3">
        <v>23</v>
      </c>
      <c r="B27" s="29">
        <v>42928</v>
      </c>
      <c r="C27" s="20" t="s">
        <v>29</v>
      </c>
      <c r="D27" s="28"/>
      <c r="E27" s="28"/>
      <c r="F27" s="28"/>
      <c r="G27" s="28"/>
      <c r="H27" s="28"/>
      <c r="I27" s="28">
        <v>1</v>
      </c>
      <c r="J27" s="33" t="s">
        <v>108</v>
      </c>
      <c r="K27" s="33" t="s">
        <v>106</v>
      </c>
      <c r="L27" s="28" t="s">
        <v>20</v>
      </c>
      <c r="M27" s="28" t="s">
        <v>20</v>
      </c>
      <c r="N27" s="28" t="s">
        <v>20</v>
      </c>
      <c r="O27" s="28" t="s">
        <v>20</v>
      </c>
      <c r="P27" s="28" t="s">
        <v>20</v>
      </c>
      <c r="Q27" s="28" t="s">
        <v>27</v>
      </c>
      <c r="R27" s="28" t="s">
        <v>20</v>
      </c>
      <c r="S27" s="28" t="s">
        <v>20</v>
      </c>
      <c r="U27" s="110"/>
      <c r="V27" s="13" t="s">
        <v>29</v>
      </c>
      <c r="W27" s="45">
        <f>+COUNTIF(N5:N65,"Blanco")</f>
        <v>0</v>
      </c>
      <c r="X27" s="127"/>
      <c r="Y27" s="26" t="s">
        <v>29</v>
      </c>
      <c r="Z27" s="52">
        <f>COUNTIFS($C$5:$C$65,"Blanco",$N$5:N65,"Si")</f>
        <v>1</v>
      </c>
      <c r="AA27" s="127"/>
      <c r="AB27" s="26" t="s">
        <v>29</v>
      </c>
      <c r="AC27" s="58">
        <f>COUNTIFS($C$5:$C$65,"Blanco",$N$5:N65,"No")</f>
        <v>7</v>
      </c>
      <c r="AD27" s="127"/>
      <c r="AE27" s="26" t="s">
        <v>6</v>
      </c>
      <c r="AF27" s="26">
        <f>COUNTIFS($F$5:$F$65,"1",$N$5:$N$65,"No")</f>
        <v>0</v>
      </c>
      <c r="AG27" s="26" t="s">
        <v>9</v>
      </c>
      <c r="AH27" s="26">
        <f>COUNTIFS($I$5:$I$65,"1",$N$5:$N$65,"No")</f>
        <v>4</v>
      </c>
      <c r="AI27" s="26"/>
      <c r="AJ27" s="52"/>
      <c r="AK27" s="50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15" customHeight="1" x14ac:dyDescent="0.25">
      <c r="A28" s="3">
        <v>24</v>
      </c>
      <c r="B28" s="29">
        <v>42928</v>
      </c>
      <c r="C28" s="28" t="s">
        <v>30</v>
      </c>
      <c r="D28" s="28"/>
      <c r="E28" s="28"/>
      <c r="F28" s="28"/>
      <c r="G28" s="28"/>
      <c r="H28" s="28">
        <v>1</v>
      </c>
      <c r="I28" s="28"/>
      <c r="J28" s="33" t="s">
        <v>108</v>
      </c>
      <c r="K28" s="33" t="s">
        <v>106</v>
      </c>
      <c r="L28" s="28" t="s">
        <v>123</v>
      </c>
      <c r="M28" s="28" t="s">
        <v>25</v>
      </c>
      <c r="N28" s="28" t="s">
        <v>25</v>
      </c>
      <c r="O28" s="28" t="s">
        <v>25</v>
      </c>
      <c r="P28" s="28" t="s">
        <v>25</v>
      </c>
      <c r="Q28" s="28" t="s">
        <v>27</v>
      </c>
      <c r="R28" s="28" t="s">
        <v>25</v>
      </c>
      <c r="S28" s="28" t="s">
        <v>25</v>
      </c>
      <c r="U28" s="137" t="s">
        <v>39</v>
      </c>
      <c r="V28" s="12" t="s">
        <v>20</v>
      </c>
      <c r="W28" s="46">
        <f>+COUNTIF(O5:O65,"Si")</f>
        <v>16</v>
      </c>
      <c r="X28" s="125" t="s">
        <v>118</v>
      </c>
      <c r="Y28" s="48" t="s">
        <v>114</v>
      </c>
      <c r="Z28" s="49">
        <f>COUNTIFS($C$5:$C$65,"M",$O$5:O65,"Si")</f>
        <v>9</v>
      </c>
      <c r="AA28" s="128" t="s">
        <v>117</v>
      </c>
      <c r="AB28" s="19" t="s">
        <v>114</v>
      </c>
      <c r="AC28" s="65">
        <f>COUNTIFS($C$5:$C$65,"M",$O$5:O65,"No")</f>
        <v>6</v>
      </c>
      <c r="AD28" s="128" t="s">
        <v>117</v>
      </c>
      <c r="AE28" s="19" t="s">
        <v>4</v>
      </c>
      <c r="AF28" s="19">
        <f>COUNTIFS($D$5:$D$65,"1",$O$5:$O$65,"No")</f>
        <v>7</v>
      </c>
      <c r="AG28" s="19" t="s">
        <v>7</v>
      </c>
      <c r="AH28" s="19">
        <f>COUNTIFS($G$5:$G$65,"1",$O$5:$O$65,"No")</f>
        <v>0</v>
      </c>
      <c r="AI28" s="19" t="s">
        <v>29</v>
      </c>
      <c r="AJ28" s="66">
        <f>COUNTIFS($I$5:$I$65,"Blanco",$O$5:$O$65,"No")</f>
        <v>5</v>
      </c>
      <c r="AK28" s="50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x14ac:dyDescent="0.25">
      <c r="A29" s="3">
        <v>25</v>
      </c>
      <c r="B29" s="29">
        <v>42928</v>
      </c>
      <c r="C29" s="28" t="s">
        <v>30</v>
      </c>
      <c r="D29" s="28"/>
      <c r="E29" s="28"/>
      <c r="F29" s="28">
        <v>1</v>
      </c>
      <c r="G29" s="28"/>
      <c r="H29" s="28"/>
      <c r="I29" s="28"/>
      <c r="J29" s="33" t="s">
        <v>108</v>
      </c>
      <c r="K29" s="33" t="s">
        <v>106</v>
      </c>
      <c r="L29" s="28" t="s">
        <v>20</v>
      </c>
      <c r="M29" s="28" t="s">
        <v>20</v>
      </c>
      <c r="N29" s="28" t="s">
        <v>20</v>
      </c>
      <c r="O29" s="28" t="s">
        <v>20</v>
      </c>
      <c r="P29" s="28" t="s">
        <v>20</v>
      </c>
      <c r="Q29" s="28" t="s">
        <v>28</v>
      </c>
      <c r="R29" s="28" t="s">
        <v>20</v>
      </c>
      <c r="S29" s="28" t="s">
        <v>20</v>
      </c>
      <c r="U29" s="109"/>
      <c r="V29" s="9" t="s">
        <v>25</v>
      </c>
      <c r="W29" s="44">
        <f>+COUNTIF(O5:O65,"No")</f>
        <v>18</v>
      </c>
      <c r="X29" s="126"/>
      <c r="Y29" s="6" t="s">
        <v>115</v>
      </c>
      <c r="Z29" s="51">
        <f>COUNTIFS(C5:$C$65,"F",O5:O65,"Si")</f>
        <v>5</v>
      </c>
      <c r="AA29" s="129"/>
      <c r="AB29" s="35" t="s">
        <v>115</v>
      </c>
      <c r="AC29" s="67">
        <f>COUNTIFS(C5:$C$65,"F",O5:O65,"No")</f>
        <v>6</v>
      </c>
      <c r="AD29" s="129"/>
      <c r="AE29" s="35" t="s">
        <v>5</v>
      </c>
      <c r="AF29" s="35">
        <f>COUNTIFS($E$5:$E$65,"1",$O$5:$O$65,"No")</f>
        <v>0</v>
      </c>
      <c r="AG29" s="9" t="s">
        <v>8</v>
      </c>
      <c r="AH29" s="35">
        <f>COUNTIFS($H$5:$H$65,"1",$O$5:$O$65,"No")</f>
        <v>4</v>
      </c>
      <c r="AI29" s="35"/>
      <c r="AJ29" s="68"/>
      <c r="AK29" s="50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5.75" thickBot="1" x14ac:dyDescent="0.3">
      <c r="A30" s="3">
        <v>26</v>
      </c>
      <c r="B30" s="29">
        <v>42937</v>
      </c>
      <c r="C30" s="28" t="s">
        <v>23</v>
      </c>
      <c r="D30" s="28"/>
      <c r="E30" s="28"/>
      <c r="F30" s="28"/>
      <c r="G30" s="28"/>
      <c r="H30" s="28">
        <v>1</v>
      </c>
      <c r="I30" s="28"/>
      <c r="J30" s="33" t="s">
        <v>108</v>
      </c>
      <c r="K30" s="33" t="s">
        <v>105</v>
      </c>
      <c r="L30" s="28" t="s">
        <v>20</v>
      </c>
      <c r="M30" s="28" t="s">
        <v>20</v>
      </c>
      <c r="N30" s="28" t="s">
        <v>20</v>
      </c>
      <c r="O30" s="28" t="s">
        <v>20</v>
      </c>
      <c r="P30" s="28" t="s">
        <v>20</v>
      </c>
      <c r="Q30" s="28" t="s">
        <v>27</v>
      </c>
      <c r="R30" s="28" t="s">
        <v>20</v>
      </c>
      <c r="S30" s="28" t="s">
        <v>20</v>
      </c>
      <c r="U30" s="110"/>
      <c r="V30" s="13" t="s">
        <v>29</v>
      </c>
      <c r="W30" s="45">
        <f>+COUNTIF(O5:O65,"Blanco")</f>
        <v>1</v>
      </c>
      <c r="X30" s="127"/>
      <c r="Y30" s="26" t="s">
        <v>29</v>
      </c>
      <c r="Z30" s="52">
        <f>COUNTIFS(C5:$C$65,"Blanco",O5:O65,"Si")</f>
        <v>2</v>
      </c>
      <c r="AA30" s="130"/>
      <c r="AB30" s="27" t="s">
        <v>29</v>
      </c>
      <c r="AC30" s="69">
        <f>COUNTIFS(C5:$C$65,"Blanco",O5:O65,"No")</f>
        <v>6</v>
      </c>
      <c r="AD30" s="130"/>
      <c r="AE30" s="27" t="s">
        <v>6</v>
      </c>
      <c r="AF30" s="27">
        <f>COUNTIFS($F$5:$F$65,"1",$O$5:$O$65,"No")</f>
        <v>0</v>
      </c>
      <c r="AG30" s="27" t="s">
        <v>9</v>
      </c>
      <c r="AH30" s="27">
        <f>COUNTIFS($I$5:$I$65,"1",$O$5:$O$65,"No")</f>
        <v>2</v>
      </c>
      <c r="AI30" s="27"/>
      <c r="AJ30" s="70"/>
      <c r="AK30" s="50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ht="15" customHeight="1" x14ac:dyDescent="0.25">
      <c r="A31" s="3">
        <v>27</v>
      </c>
      <c r="B31" s="29">
        <v>42937</v>
      </c>
      <c r="C31" s="28" t="s">
        <v>30</v>
      </c>
      <c r="D31" s="28"/>
      <c r="E31" s="28"/>
      <c r="F31" s="28"/>
      <c r="G31" s="28"/>
      <c r="H31" s="28"/>
      <c r="I31" s="28">
        <v>1</v>
      </c>
      <c r="J31" s="33" t="s">
        <v>108</v>
      </c>
      <c r="K31" s="33" t="s">
        <v>105</v>
      </c>
      <c r="L31" s="28" t="s">
        <v>25</v>
      </c>
      <c r="M31" s="28" t="s">
        <v>20</v>
      </c>
      <c r="N31" s="28" t="s">
        <v>25</v>
      </c>
      <c r="O31" s="28" t="s">
        <v>20</v>
      </c>
      <c r="P31" s="28" t="s">
        <v>25</v>
      </c>
      <c r="Q31" s="28" t="s">
        <v>34</v>
      </c>
      <c r="R31" s="28" t="s">
        <v>25</v>
      </c>
      <c r="S31" s="28" t="s">
        <v>25</v>
      </c>
      <c r="U31" s="137" t="s">
        <v>40</v>
      </c>
      <c r="V31" s="12" t="s">
        <v>20</v>
      </c>
      <c r="W31" s="46">
        <f>+COUNTIF(P5:P65,"Si")</f>
        <v>16</v>
      </c>
      <c r="X31" s="125" t="s">
        <v>118</v>
      </c>
      <c r="Y31" s="48" t="s">
        <v>114</v>
      </c>
      <c r="Z31" s="49">
        <f>COUNTIFS(C5:$C$65,"M",P5:P65,"Si")</f>
        <v>8</v>
      </c>
      <c r="AA31" s="128" t="s">
        <v>117</v>
      </c>
      <c r="AB31" s="19" t="s">
        <v>114</v>
      </c>
      <c r="AC31" s="65">
        <f>COUNTIFS(C5:$C$65,"M",P5:P65,"No")</f>
        <v>7</v>
      </c>
      <c r="AD31" s="128" t="s">
        <v>117</v>
      </c>
      <c r="AE31" s="19" t="s">
        <v>4</v>
      </c>
      <c r="AF31" s="19">
        <f>COUNTIFS($D$5:$D$65,"1",$P$5:$P$65,"No")</f>
        <v>7</v>
      </c>
      <c r="AG31" s="19" t="s">
        <v>7</v>
      </c>
      <c r="AH31" s="19">
        <f>COUNTIFS($G$5:$G$65,"1",$P$5:$P$65,"No")</f>
        <v>1</v>
      </c>
      <c r="AI31" s="19" t="s">
        <v>29</v>
      </c>
      <c r="AJ31" s="66">
        <f>COUNTIFS($I$5:$I$65,"Blanco",$P$5:$P$65,"No")</f>
        <v>3</v>
      </c>
      <c r="AK31" s="50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x14ac:dyDescent="0.25">
      <c r="A32" s="3">
        <v>28</v>
      </c>
      <c r="B32" s="29">
        <v>42937</v>
      </c>
      <c r="C32" s="28" t="s">
        <v>23</v>
      </c>
      <c r="D32" s="28">
        <v>1</v>
      </c>
      <c r="E32" s="28"/>
      <c r="F32" s="28"/>
      <c r="G32" s="28"/>
      <c r="H32" s="28"/>
      <c r="I32" s="28"/>
      <c r="J32" s="33" t="s">
        <v>108</v>
      </c>
      <c r="K32" s="33" t="s">
        <v>105</v>
      </c>
      <c r="L32" s="28" t="s">
        <v>20</v>
      </c>
      <c r="M32" s="28" t="s">
        <v>20</v>
      </c>
      <c r="N32" s="28" t="s">
        <v>25</v>
      </c>
      <c r="O32" s="28" t="s">
        <v>25</v>
      </c>
      <c r="P32" s="28" t="s">
        <v>25</v>
      </c>
      <c r="Q32" s="28" t="s">
        <v>28</v>
      </c>
      <c r="R32" s="28" t="s">
        <v>20</v>
      </c>
      <c r="S32" s="28" t="s">
        <v>20</v>
      </c>
      <c r="U32" s="109"/>
      <c r="V32" s="9" t="s">
        <v>25</v>
      </c>
      <c r="W32" s="44">
        <f>+COUNTIF(P5:P65,"No")</f>
        <v>18</v>
      </c>
      <c r="X32" s="126"/>
      <c r="Y32" s="6" t="s">
        <v>115</v>
      </c>
      <c r="Z32" s="51">
        <f>COUNTIFS(C5:$C$65,"F",P5:P65,"Si")</f>
        <v>6</v>
      </c>
      <c r="AA32" s="129"/>
      <c r="AB32" s="35" t="s">
        <v>115</v>
      </c>
      <c r="AC32" s="67">
        <f>COUNTIFS(C5:$C$65,"F",P5:P65,"NO")</f>
        <v>5</v>
      </c>
      <c r="AD32" s="129"/>
      <c r="AE32" s="35" t="s">
        <v>5</v>
      </c>
      <c r="AF32" s="35">
        <f>COUNTIFS($E$5:$E$65,"1",$P$5:$P$65,"No")</f>
        <v>0</v>
      </c>
      <c r="AG32" s="9" t="s">
        <v>8</v>
      </c>
      <c r="AH32" s="35">
        <f>COUNTIFS($H$5:$H$65,"1",$P$5:$P$65,"No")</f>
        <v>3</v>
      </c>
      <c r="AI32" s="35"/>
      <c r="AJ32" s="68"/>
      <c r="AK32" s="50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5.75" thickBot="1" x14ac:dyDescent="0.3">
      <c r="A33" s="3">
        <v>29</v>
      </c>
      <c r="B33" s="29">
        <v>42935</v>
      </c>
      <c r="C33" s="28" t="s">
        <v>23</v>
      </c>
      <c r="D33" s="28">
        <v>1</v>
      </c>
      <c r="E33" s="28"/>
      <c r="F33" s="28"/>
      <c r="G33" s="28"/>
      <c r="H33" s="28"/>
      <c r="I33" s="28"/>
      <c r="J33" s="33" t="s">
        <v>108</v>
      </c>
      <c r="K33" s="33" t="s">
        <v>105</v>
      </c>
      <c r="L33" s="28" t="s">
        <v>20</v>
      </c>
      <c r="M33" s="28" t="s">
        <v>20</v>
      </c>
      <c r="N33" s="28" t="s">
        <v>25</v>
      </c>
      <c r="O33" s="20" t="s">
        <v>29</v>
      </c>
      <c r="P33" s="28" t="s">
        <v>20</v>
      </c>
      <c r="Q33" s="28" t="s">
        <v>27</v>
      </c>
      <c r="R33" s="28" t="s">
        <v>20</v>
      </c>
      <c r="S33" s="28" t="s">
        <v>20</v>
      </c>
      <c r="U33" s="110"/>
      <c r="V33" s="13" t="s">
        <v>29</v>
      </c>
      <c r="W33" s="45">
        <f>+COUNTIF(P5:P65,"Blanco")</f>
        <v>1</v>
      </c>
      <c r="X33" s="154"/>
      <c r="Y33" s="34" t="s">
        <v>29</v>
      </c>
      <c r="Z33" s="53">
        <f>COUNTIFS(C5:$C$65,"Blanco",P4:P64,"Si")</f>
        <v>2</v>
      </c>
      <c r="AA33" s="153"/>
      <c r="AB33" s="71" t="s">
        <v>29</v>
      </c>
      <c r="AC33" s="72">
        <f>COUNTIFS(C5:$C$65,"Blanco",P5:P65,"No")</f>
        <v>6</v>
      </c>
      <c r="AD33" s="130"/>
      <c r="AE33" s="27" t="s">
        <v>6</v>
      </c>
      <c r="AF33" s="27">
        <f>COUNTIFS($F$5:$F$65,"1",$P$5:$P$65,"No")</f>
        <v>0</v>
      </c>
      <c r="AG33" s="71" t="s">
        <v>9</v>
      </c>
      <c r="AH33" s="71">
        <f>COUNTIFS($I$5:$I$65,"1",$P$5:$P$65,"No")</f>
        <v>4</v>
      </c>
      <c r="AI33" s="71"/>
      <c r="AJ33" s="73"/>
      <c r="AK33" s="5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</row>
    <row r="34" spans="1:50" x14ac:dyDescent="0.25">
      <c r="A34" s="3">
        <v>30</v>
      </c>
      <c r="B34" s="29">
        <v>42935</v>
      </c>
      <c r="C34" s="20" t="s">
        <v>29</v>
      </c>
      <c r="D34" s="28"/>
      <c r="E34" s="28"/>
      <c r="F34" s="28"/>
      <c r="G34" s="28"/>
      <c r="H34" s="28"/>
      <c r="I34" s="28">
        <v>1</v>
      </c>
      <c r="J34" s="33" t="s">
        <v>108</v>
      </c>
      <c r="K34" s="33" t="s">
        <v>105</v>
      </c>
      <c r="L34" s="28" t="s">
        <v>20</v>
      </c>
      <c r="M34" s="28" t="s">
        <v>20</v>
      </c>
      <c r="N34" s="28" t="s">
        <v>25</v>
      </c>
      <c r="O34" s="28" t="s">
        <v>25</v>
      </c>
      <c r="P34" s="28" t="s">
        <v>25</v>
      </c>
      <c r="Q34" s="28" t="s">
        <v>28</v>
      </c>
      <c r="R34" s="28" t="s">
        <v>20</v>
      </c>
      <c r="S34" s="28" t="s">
        <v>25</v>
      </c>
      <c r="U34" s="137" t="s">
        <v>41</v>
      </c>
      <c r="V34" s="12" t="s">
        <v>27</v>
      </c>
      <c r="W34" s="46">
        <f>+COUNTIF(Q5:Q65,"Elevada")</f>
        <v>16</v>
      </c>
      <c r="X34" s="125" t="s">
        <v>116</v>
      </c>
      <c r="Y34" s="48" t="s">
        <v>114</v>
      </c>
      <c r="Z34" s="49">
        <f>COUNTIFS(C5:$C$65,"M",Q5:Q65,"Elevada")</f>
        <v>5</v>
      </c>
      <c r="AA34" s="125" t="s">
        <v>119</v>
      </c>
      <c r="AB34" s="48" t="s">
        <v>114</v>
      </c>
      <c r="AC34" s="49">
        <f>COUNTIFS(C5:$C$65,"M",Q5:Q65,"Alguna")</f>
        <v>5</v>
      </c>
      <c r="AD34" s="125" t="s">
        <v>120</v>
      </c>
      <c r="AE34" s="48" t="s">
        <v>114</v>
      </c>
      <c r="AF34" s="49">
        <f>COUNTIFS(C5:$C$65,"M",Q5:Q65,"Poca")</f>
        <v>4</v>
      </c>
      <c r="AG34" s="125" t="s">
        <v>121</v>
      </c>
      <c r="AH34" s="48" t="s">
        <v>114</v>
      </c>
      <c r="AI34" s="55">
        <f>COUNTIFS(C5:$C$65,"M",Q5:Q65,"ninguna")</f>
        <v>1</v>
      </c>
      <c r="AJ34" s="55"/>
      <c r="AK34" s="125" t="s">
        <v>122</v>
      </c>
      <c r="AL34" s="56" t="s">
        <v>4</v>
      </c>
      <c r="AM34" s="48">
        <f>COUNTIFS(D5:$D$65,"1",$Q$5:$Q$65,"Elevada")</f>
        <v>6</v>
      </c>
      <c r="AN34" s="48" t="s">
        <v>7</v>
      </c>
      <c r="AO34" s="48">
        <f>COUNTIFS(G5:$G$65,"1",$Q$5:$Q$65,"Elevada")</f>
        <v>0</v>
      </c>
      <c r="AP34" s="48" t="s">
        <v>29</v>
      </c>
      <c r="AQ34" s="49">
        <f>COUNTIFS(I5:$I$65,"Blanco",$Q$5:$Q$65,"Elevada")</f>
        <v>2</v>
      </c>
      <c r="AR34" s="125" t="s">
        <v>119</v>
      </c>
      <c r="AS34" s="48" t="s">
        <v>4</v>
      </c>
      <c r="AT34" s="48">
        <f>COUNTIFS(D5:$D$65,"1",$Q$5:$Q$65,"Alguna")</f>
        <v>4</v>
      </c>
      <c r="AU34" s="48" t="s">
        <v>7</v>
      </c>
      <c r="AV34" s="48">
        <f>COUNTIFS(G5:$G$65,"1",$Q$5:$Q$65,"Alguna")</f>
        <v>0</v>
      </c>
      <c r="AW34" s="48" t="s">
        <v>29</v>
      </c>
      <c r="AX34" s="49">
        <f>COUNTIFS(I5:$I$65,"Blanco",$Q$5:$Q$65,"Alguna")</f>
        <v>2</v>
      </c>
    </row>
    <row r="35" spans="1:50" x14ac:dyDescent="0.25">
      <c r="A35" s="3">
        <v>31</v>
      </c>
      <c r="B35" s="29">
        <v>42935</v>
      </c>
      <c r="C35" s="20" t="s">
        <v>29</v>
      </c>
      <c r="D35" s="28"/>
      <c r="E35" s="28"/>
      <c r="F35" s="28"/>
      <c r="G35" s="28"/>
      <c r="H35" s="28"/>
      <c r="I35" s="20" t="s">
        <v>29</v>
      </c>
      <c r="J35" s="33" t="s">
        <v>108</v>
      </c>
      <c r="K35" s="33" t="s">
        <v>105</v>
      </c>
      <c r="L35" s="28" t="s">
        <v>25</v>
      </c>
      <c r="M35" s="28" t="s">
        <v>20</v>
      </c>
      <c r="N35" s="28" t="s">
        <v>25</v>
      </c>
      <c r="O35" s="28" t="s">
        <v>25</v>
      </c>
      <c r="P35" s="28" t="s">
        <v>25</v>
      </c>
      <c r="Q35" s="28" t="s">
        <v>27</v>
      </c>
      <c r="R35" s="28" t="s">
        <v>25</v>
      </c>
      <c r="S35" s="28" t="s">
        <v>25</v>
      </c>
      <c r="U35" s="109"/>
      <c r="V35" s="9" t="s">
        <v>28</v>
      </c>
      <c r="W35" s="44">
        <f>+COUNTIF(Q5:Q65,"Alguna")</f>
        <v>8</v>
      </c>
      <c r="X35" s="126"/>
      <c r="Y35" s="6" t="s">
        <v>115</v>
      </c>
      <c r="Z35" s="51">
        <f>COUNTIFS(C5:$C$65,"F",Q5:Q65,"Elevada")</f>
        <v>7</v>
      </c>
      <c r="AA35" s="126"/>
      <c r="AB35" s="6" t="s">
        <v>115</v>
      </c>
      <c r="AC35" s="51">
        <f>COUNTIFS(C5:$C$65,"F",Q5:Q65,"Alguna")</f>
        <v>2</v>
      </c>
      <c r="AD35" s="126"/>
      <c r="AE35" s="6" t="s">
        <v>115</v>
      </c>
      <c r="AF35" s="51">
        <f>COUNTIFS(C5:$C$65,"F",Q5:Q65,"Poca")</f>
        <v>2</v>
      </c>
      <c r="AG35" s="126"/>
      <c r="AH35" s="6" t="s">
        <v>115</v>
      </c>
      <c r="AI35" s="57">
        <f>COUNTIFS(C5:$C$65,"F",Q5:Q65,"Ninguna")</f>
        <v>1</v>
      </c>
      <c r="AJ35" s="57"/>
      <c r="AK35" s="126"/>
      <c r="AL35" s="50" t="s">
        <v>5</v>
      </c>
      <c r="AM35" s="6">
        <f>COUNTIFS(E5:$E$65,"1",$Q$5:$Q$65,"Elevada")</f>
        <v>0</v>
      </c>
      <c r="AN35" s="39" t="s">
        <v>8</v>
      </c>
      <c r="AO35" s="6">
        <f>COUNTIFS(H5:$H$65,"1",$Q$5:$Q$65,"Elevada")</f>
        <v>4</v>
      </c>
      <c r="AP35" s="6"/>
      <c r="AQ35" s="51"/>
      <c r="AR35" s="126"/>
      <c r="AS35" s="6" t="s">
        <v>5</v>
      </c>
      <c r="AT35" s="6">
        <f>COUNTIFS(E5:$E$65,"1",$Q$5:$Q$65,"Alguna")</f>
        <v>0</v>
      </c>
      <c r="AU35" s="39" t="s">
        <v>8</v>
      </c>
      <c r="AV35" s="6">
        <f>COUNTIFS(H5:$H$65,"1",$Q$5:$Q$65,"Alguna")</f>
        <v>0</v>
      </c>
      <c r="AW35" s="6"/>
      <c r="AX35" s="51"/>
    </row>
    <row r="36" spans="1:50" ht="15.75" thickBot="1" x14ac:dyDescent="0.3">
      <c r="A36" s="3">
        <v>32</v>
      </c>
      <c r="B36" s="29">
        <v>42935</v>
      </c>
      <c r="C36" s="20" t="s">
        <v>29</v>
      </c>
      <c r="D36" s="28"/>
      <c r="E36" s="28"/>
      <c r="F36" s="28"/>
      <c r="G36" s="28"/>
      <c r="H36" s="28"/>
      <c r="I36" s="20" t="s">
        <v>29</v>
      </c>
      <c r="J36" s="33" t="s">
        <v>108</v>
      </c>
      <c r="K36" s="33" t="s">
        <v>105</v>
      </c>
      <c r="L36" s="28" t="s">
        <v>25</v>
      </c>
      <c r="M36" s="28" t="s">
        <v>25</v>
      </c>
      <c r="N36" s="28" t="s">
        <v>25</v>
      </c>
      <c r="O36" s="28" t="s">
        <v>25</v>
      </c>
      <c r="P36" s="28" t="s">
        <v>25</v>
      </c>
      <c r="Q36" s="28" t="s">
        <v>34</v>
      </c>
      <c r="R36" s="28" t="s">
        <v>25</v>
      </c>
      <c r="S36" s="28" t="s">
        <v>25</v>
      </c>
      <c r="U36" s="109"/>
      <c r="V36" s="9" t="s">
        <v>26</v>
      </c>
      <c r="W36" s="44">
        <f>+COUNTIF(Q5:Q65,"Poca")</f>
        <v>6</v>
      </c>
      <c r="X36" s="127"/>
      <c r="Y36" s="26" t="s">
        <v>29</v>
      </c>
      <c r="Z36" s="52">
        <f>COUNTIFS(C5:$C$65,"Blanco",Q5:Q65,"Elevada")</f>
        <v>4</v>
      </c>
      <c r="AA36" s="127"/>
      <c r="AB36" s="26" t="s">
        <v>29</v>
      </c>
      <c r="AC36" s="52">
        <f>COUNTIFS(C5:$C$65,"Blanco",Q5:Q65,"Alguna")</f>
        <v>1</v>
      </c>
      <c r="AD36" s="127"/>
      <c r="AE36" s="26" t="s">
        <v>29</v>
      </c>
      <c r="AF36" s="52">
        <f>COUNTIFS(C5:$C$65,"Blanco",Q5:Q65,"Poca")</f>
        <v>0</v>
      </c>
      <c r="AG36" s="127"/>
      <c r="AH36" s="26" t="s">
        <v>29</v>
      </c>
      <c r="AI36" s="58">
        <f>COUNTIFS(C5:$C$65,"Blanco",Q5:Q65,"Ninguna")</f>
        <v>3</v>
      </c>
      <c r="AJ36" s="58"/>
      <c r="AK36" s="127"/>
      <c r="AL36" s="59" t="s">
        <v>6</v>
      </c>
      <c r="AM36" s="26">
        <f>COUNTIFS(F5:$F$65,"1",$Q$5:$Q$65,"Elevada")</f>
        <v>0</v>
      </c>
      <c r="AN36" s="26" t="s">
        <v>9</v>
      </c>
      <c r="AO36" s="26">
        <f>COUNTIFS(I5:$I$65,"1",$Q$5:$Q$65,"Elevada")</f>
        <v>4</v>
      </c>
      <c r="AP36" s="26"/>
      <c r="AQ36" s="52"/>
      <c r="AR36" s="127"/>
      <c r="AS36" s="26" t="s">
        <v>6</v>
      </c>
      <c r="AT36" s="26">
        <f>COUNTIFS(F5:$F$65,"1",$Q$5:$Q$65,"Alguna")</f>
        <v>1</v>
      </c>
      <c r="AU36" s="26" t="s">
        <v>9</v>
      </c>
      <c r="AV36" s="26">
        <f>COUNTIFS(I5:$I$65,"1",$Q$5:$Q$65,"Alguna")</f>
        <v>1</v>
      </c>
      <c r="AW36" s="26"/>
      <c r="AX36" s="52"/>
    </row>
    <row r="37" spans="1:50" ht="15.75" thickBot="1" x14ac:dyDescent="0.3">
      <c r="A37" s="3">
        <v>33</v>
      </c>
      <c r="B37" s="29">
        <v>42935</v>
      </c>
      <c r="C37" s="20" t="s">
        <v>29</v>
      </c>
      <c r="D37" s="28"/>
      <c r="E37" s="28"/>
      <c r="F37" s="28"/>
      <c r="G37" s="28"/>
      <c r="H37" s="28">
        <v>1</v>
      </c>
      <c r="I37" s="28"/>
      <c r="J37" s="33" t="s">
        <v>108</v>
      </c>
      <c r="K37" s="33" t="s">
        <v>105</v>
      </c>
      <c r="L37" s="28" t="s">
        <v>20</v>
      </c>
      <c r="M37" s="28" t="s">
        <v>20</v>
      </c>
      <c r="N37" s="28" t="s">
        <v>25</v>
      </c>
      <c r="O37" s="28" t="s">
        <v>25</v>
      </c>
      <c r="P37" s="28" t="s">
        <v>25</v>
      </c>
      <c r="Q37" s="28" t="s">
        <v>27</v>
      </c>
      <c r="R37" s="28" t="s">
        <v>25</v>
      </c>
      <c r="S37" s="28" t="s">
        <v>20</v>
      </c>
      <c r="U37" s="110"/>
      <c r="V37" s="13" t="s">
        <v>34</v>
      </c>
      <c r="W37" s="45">
        <f>+COUNTIF(Q5:Q65,"Ninguna")</f>
        <v>5</v>
      </c>
      <c r="X37" s="47"/>
      <c r="Y37" s="60"/>
      <c r="Z37" s="62"/>
      <c r="AA37" s="63"/>
      <c r="AB37" s="60"/>
      <c r="AC37" s="64"/>
      <c r="AD37" s="60"/>
      <c r="AE37" s="60"/>
      <c r="AF37" s="60"/>
      <c r="AG37" s="60"/>
      <c r="AH37" s="60"/>
      <c r="AI37" s="60"/>
      <c r="AJ37" s="60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</row>
    <row r="38" spans="1:50" ht="15" customHeight="1" x14ac:dyDescent="0.25">
      <c r="A38" s="3">
        <v>34</v>
      </c>
      <c r="B38" s="29">
        <v>42935</v>
      </c>
      <c r="C38" s="20" t="s">
        <v>29</v>
      </c>
      <c r="D38" s="28"/>
      <c r="E38" s="28"/>
      <c r="F38" s="28"/>
      <c r="G38" s="28"/>
      <c r="H38" s="28"/>
      <c r="I38" s="20" t="s">
        <v>29</v>
      </c>
      <c r="J38" s="33" t="s">
        <v>108</v>
      </c>
      <c r="K38" s="33" t="s">
        <v>105</v>
      </c>
      <c r="L38" s="28" t="s">
        <v>20</v>
      </c>
      <c r="M38" s="28" t="s">
        <v>20</v>
      </c>
      <c r="N38" s="28" t="s">
        <v>25</v>
      </c>
      <c r="O38" s="28" t="s">
        <v>20</v>
      </c>
      <c r="P38" s="28" t="s">
        <v>25</v>
      </c>
      <c r="Q38" s="20" t="s">
        <v>34</v>
      </c>
      <c r="R38" s="28" t="s">
        <v>20</v>
      </c>
      <c r="S38" s="28" t="s">
        <v>20</v>
      </c>
      <c r="U38" s="137" t="s">
        <v>42</v>
      </c>
      <c r="V38" s="12" t="s">
        <v>20</v>
      </c>
      <c r="W38" s="46">
        <f>+COUNTIF(R5:R65,"Si")</f>
        <v>22</v>
      </c>
      <c r="X38" s="125" t="s">
        <v>118</v>
      </c>
      <c r="Y38" s="48" t="s">
        <v>114</v>
      </c>
      <c r="Z38" s="49">
        <f>COUNTIFS(C5:$C$65,"M",R5:R65,"Si")</f>
        <v>9</v>
      </c>
      <c r="AA38" s="125" t="s">
        <v>117</v>
      </c>
      <c r="AB38" s="48" t="s">
        <v>114</v>
      </c>
      <c r="AC38" s="55">
        <f>COUNTIFS(C5:$C$65,"M",R5:R65,"No")</f>
        <v>6</v>
      </c>
      <c r="AD38" s="125" t="s">
        <v>118</v>
      </c>
      <c r="AE38" s="48" t="s">
        <v>4</v>
      </c>
      <c r="AF38" s="48">
        <f>COUNTIFS($D$5:$D$65,"1",$R$5:$R$65,"Si")</f>
        <v>10</v>
      </c>
      <c r="AG38" s="48" t="s">
        <v>7</v>
      </c>
      <c r="AH38" s="48">
        <f>COUNTIFS($G$5:$G$65,"1",$R$5:$R$65,"Si")</f>
        <v>0</v>
      </c>
      <c r="AI38" s="48" t="s">
        <v>29</v>
      </c>
      <c r="AJ38" s="49">
        <f>COUNTIFS($I$5:$I$65,"Blanco",$R$5:$R$65,"Si")</f>
        <v>4</v>
      </c>
      <c r="AK38" s="50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x14ac:dyDescent="0.25">
      <c r="A39" s="3">
        <v>35</v>
      </c>
      <c r="B39" s="29">
        <v>42935</v>
      </c>
      <c r="C39" s="20" t="s">
        <v>29</v>
      </c>
      <c r="D39" s="28"/>
      <c r="E39" s="28"/>
      <c r="F39" s="28"/>
      <c r="G39" s="28"/>
      <c r="H39" s="28">
        <v>1</v>
      </c>
      <c r="I39" s="28"/>
      <c r="J39" s="33" t="s">
        <v>108</v>
      </c>
      <c r="K39" s="33" t="s">
        <v>105</v>
      </c>
      <c r="L39" s="28" t="s">
        <v>25</v>
      </c>
      <c r="M39" s="28" t="s">
        <v>25</v>
      </c>
      <c r="N39" s="28" t="s">
        <v>25</v>
      </c>
      <c r="O39" s="28" t="s">
        <v>25</v>
      </c>
      <c r="P39" s="28" t="s">
        <v>25</v>
      </c>
      <c r="Q39" s="28" t="s">
        <v>34</v>
      </c>
      <c r="R39" s="28" t="s">
        <v>25</v>
      </c>
      <c r="S39" s="28" t="s">
        <v>25</v>
      </c>
      <c r="U39" s="109"/>
      <c r="V39" s="9" t="s">
        <v>25</v>
      </c>
      <c r="W39" s="44">
        <f>+COUNTIF(R5:R65,"No")</f>
        <v>13</v>
      </c>
      <c r="X39" s="126"/>
      <c r="Y39" s="6" t="s">
        <v>115</v>
      </c>
      <c r="Z39" s="51">
        <f>COUNTIFS(C5:$C$65,"F",R5:R65,"Si")</f>
        <v>9</v>
      </c>
      <c r="AA39" s="126"/>
      <c r="AB39" s="6" t="s">
        <v>115</v>
      </c>
      <c r="AC39" s="57">
        <f>COUNTIFS(C5:$C$65,"F",R5:R65,"No")</f>
        <v>3</v>
      </c>
      <c r="AD39" s="126"/>
      <c r="AE39" s="6" t="s">
        <v>5</v>
      </c>
      <c r="AF39" s="6">
        <f>COUNTIFS($E$5:$E$65,"1",$R$5:$R$65,"Si")</f>
        <v>0</v>
      </c>
      <c r="AG39" s="39" t="s">
        <v>8</v>
      </c>
      <c r="AH39" s="6">
        <f>COUNTIFS($H$5:$H$65,"1",$R$5:$R$65,"Si")</f>
        <v>2</v>
      </c>
      <c r="AI39" s="6"/>
      <c r="AJ39" s="51"/>
      <c r="AK39" s="50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5.75" thickBot="1" x14ac:dyDescent="0.3">
      <c r="A40" s="3">
        <v>36</v>
      </c>
      <c r="B40" s="29"/>
      <c r="C40" s="31"/>
      <c r="D40" s="28"/>
      <c r="E40" s="28"/>
      <c r="F40" s="28"/>
      <c r="G40" s="28"/>
      <c r="H40" s="28"/>
      <c r="I40" s="28"/>
      <c r="J40" s="33"/>
      <c r="K40" s="33"/>
      <c r="L40" s="31"/>
      <c r="M40" s="31"/>
      <c r="N40" s="31"/>
      <c r="O40" s="31"/>
      <c r="P40" s="31"/>
      <c r="Q40" s="31"/>
      <c r="R40" s="31"/>
      <c r="S40" s="31"/>
      <c r="U40" s="110"/>
      <c r="V40" s="13" t="s">
        <v>29</v>
      </c>
      <c r="W40" s="45">
        <f>+COUNTIF(R5:R65,"Blanco")</f>
        <v>0</v>
      </c>
      <c r="X40" s="127"/>
      <c r="Y40" s="26" t="s">
        <v>29</v>
      </c>
      <c r="Z40" s="52">
        <f>COUNTIFS(C5:$C$65,"Blanco",R5:R65,"Si")</f>
        <v>4</v>
      </c>
      <c r="AA40" s="127"/>
      <c r="AB40" s="26" t="s">
        <v>29</v>
      </c>
      <c r="AC40" s="58">
        <f>COUNTIFS(C5:$C$65,"Blanco",R5:R65,"No")</f>
        <v>4</v>
      </c>
      <c r="AD40" s="127"/>
      <c r="AE40" s="26" t="s">
        <v>6</v>
      </c>
      <c r="AF40" s="26">
        <f>COUNTIFS($F$5:$F$65,"1",$R$5:$R$65,"Si")</f>
        <v>1</v>
      </c>
      <c r="AG40" s="26" t="s">
        <v>9</v>
      </c>
      <c r="AH40" s="26">
        <f>COUNTIFS($I$5:$I$65,"1",$R$5:$R$65,"Si")</f>
        <v>5</v>
      </c>
      <c r="AI40" s="26"/>
      <c r="AJ40" s="52"/>
      <c r="AK40" s="50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15" customHeight="1" x14ac:dyDescent="0.25">
      <c r="A41" s="3">
        <v>37</v>
      </c>
      <c r="B41" s="29"/>
      <c r="C41" s="31"/>
      <c r="D41" s="28"/>
      <c r="E41" s="28"/>
      <c r="F41" s="28"/>
      <c r="G41" s="28"/>
      <c r="H41" s="28"/>
      <c r="I41" s="28"/>
      <c r="J41" s="33"/>
      <c r="K41" s="28"/>
      <c r="L41" s="31"/>
      <c r="M41" s="31"/>
      <c r="N41" s="31"/>
      <c r="O41" s="31"/>
      <c r="P41" s="31"/>
      <c r="Q41" s="31"/>
      <c r="R41" s="31"/>
      <c r="S41" s="31"/>
      <c r="U41" s="137" t="s">
        <v>43</v>
      </c>
      <c r="V41" s="12" t="s">
        <v>20</v>
      </c>
      <c r="W41" s="46">
        <f>+COUNTIF(S5:S65,"Si")</f>
        <v>21</v>
      </c>
      <c r="X41" s="125" t="s">
        <v>118</v>
      </c>
      <c r="Y41" s="48" t="s">
        <v>114</v>
      </c>
      <c r="Z41" s="49">
        <f>COUNTIFS(C5:$C$65,"M",S5:S65,"Si")</f>
        <v>9</v>
      </c>
      <c r="AA41" s="125" t="s">
        <v>117</v>
      </c>
      <c r="AB41" s="48" t="s">
        <v>114</v>
      </c>
      <c r="AC41" s="55">
        <f>COUNTIFS(C5:$C$65,"M",S5:S65,"No")</f>
        <v>6</v>
      </c>
      <c r="AD41" s="125" t="s">
        <v>118</v>
      </c>
      <c r="AE41" s="48" t="s">
        <v>4</v>
      </c>
      <c r="AF41" s="48">
        <f>COUNTIFS($D$5:$D$65,"1",$S$5:$S$65,"Si")</f>
        <v>10</v>
      </c>
      <c r="AG41" s="48" t="s">
        <v>7</v>
      </c>
      <c r="AH41" s="48">
        <f>COUNTIFS($G$5:$G$65,"1",$S$5:$S$65,"Si")</f>
        <v>0</v>
      </c>
      <c r="AI41" s="48" t="s">
        <v>29</v>
      </c>
      <c r="AJ41" s="49">
        <f>COUNTIFS($I$5:$I$65,"Blanco",$S$5:$S$65,"Si")</f>
        <v>4</v>
      </c>
      <c r="AK41" s="50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15" customHeight="1" x14ac:dyDescent="0.25">
      <c r="A42" s="3">
        <v>38</v>
      </c>
      <c r="B42" s="29"/>
      <c r="C42" s="28"/>
      <c r="D42" s="28"/>
      <c r="E42" s="28"/>
      <c r="F42" s="28"/>
      <c r="G42" s="28"/>
      <c r="H42" s="28"/>
      <c r="I42" s="28"/>
      <c r="J42" s="33"/>
      <c r="K42" s="28"/>
      <c r="L42" s="28"/>
      <c r="M42" s="28"/>
      <c r="N42" s="28"/>
      <c r="O42" s="28"/>
      <c r="P42" s="28"/>
      <c r="Q42" s="28"/>
      <c r="R42" s="28"/>
      <c r="S42" s="28"/>
      <c r="U42" s="109"/>
      <c r="V42" s="9" t="s">
        <v>25</v>
      </c>
      <c r="W42" s="44">
        <f>+COUNTIF(S5:S65,"No")</f>
        <v>14</v>
      </c>
      <c r="X42" s="126"/>
      <c r="Y42" s="6" t="s">
        <v>115</v>
      </c>
      <c r="Z42" s="51">
        <f>COUNTIFS(C5:$C$65,"F",S5:S65,"Si")</f>
        <v>8</v>
      </c>
      <c r="AA42" s="126"/>
      <c r="AB42" s="6" t="s">
        <v>115</v>
      </c>
      <c r="AC42" s="57">
        <f>COUNTIFS(C5:$C$65,"F",S5:S65,"No")</f>
        <v>4</v>
      </c>
      <c r="AD42" s="126"/>
      <c r="AE42" s="6" t="s">
        <v>5</v>
      </c>
      <c r="AF42" s="6">
        <f>COUNTIFS($E$5:$E$65,"1",$S$6:$S$66,"Si")</f>
        <v>0</v>
      </c>
      <c r="AG42" s="39" t="s">
        <v>8</v>
      </c>
      <c r="AH42" s="6">
        <f>COUNTIFS($H$5:$H$65,"1",$S$5:$S$65,"Si")</f>
        <v>4</v>
      </c>
      <c r="AI42" s="6"/>
      <c r="AJ42" s="51"/>
      <c r="AK42" s="50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5.75" thickBot="1" x14ac:dyDescent="0.3">
      <c r="A43" s="3">
        <v>39</v>
      </c>
      <c r="B43" s="29"/>
      <c r="C43" s="28"/>
      <c r="D43" s="28"/>
      <c r="E43" s="28"/>
      <c r="F43" s="28"/>
      <c r="G43" s="28"/>
      <c r="H43" s="28"/>
      <c r="I43" s="28"/>
      <c r="J43" s="33"/>
      <c r="K43" s="28"/>
      <c r="L43" s="28"/>
      <c r="M43" s="28"/>
      <c r="N43" s="28"/>
      <c r="O43" s="28"/>
      <c r="P43" s="28"/>
      <c r="Q43" s="28"/>
      <c r="R43" s="28"/>
      <c r="S43" s="28"/>
      <c r="U43" s="110"/>
      <c r="V43" s="13" t="s">
        <v>29</v>
      </c>
      <c r="W43" s="45">
        <f>+COUNTIF(S5:S65,"Blanco")</f>
        <v>0</v>
      </c>
      <c r="X43" s="127"/>
      <c r="Y43" s="26" t="s">
        <v>29</v>
      </c>
      <c r="Z43" s="52">
        <f>COUNTIFS(C5:$C$65,"Blanco",S5:S65,"Si")</f>
        <v>4</v>
      </c>
      <c r="AA43" s="127"/>
      <c r="AB43" s="26" t="s">
        <v>29</v>
      </c>
      <c r="AC43" s="58">
        <f>COUNTIFS(C5:$C$65,"Blanco",S5:S65,"No")</f>
        <v>4</v>
      </c>
      <c r="AD43" s="127"/>
      <c r="AE43" s="26" t="s">
        <v>6</v>
      </c>
      <c r="AF43" s="26">
        <f>COUNTIFS($F$5:$F$65,"1",$S$5:$S$65,"Si")</f>
        <v>1</v>
      </c>
      <c r="AG43" s="26" t="s">
        <v>9</v>
      </c>
      <c r="AH43" s="26">
        <f>COUNTIFS($I$5:$I$65,"1",$S$5:$S$65,"Si")</f>
        <v>2</v>
      </c>
      <c r="AI43" s="26"/>
      <c r="AJ43" s="52"/>
      <c r="AK43" s="50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x14ac:dyDescent="0.25">
      <c r="A44" s="3">
        <v>40</v>
      </c>
      <c r="B44" s="29"/>
      <c r="C44" s="28"/>
      <c r="D44" s="28"/>
      <c r="E44" s="28"/>
      <c r="F44" s="28"/>
      <c r="G44" s="28"/>
      <c r="H44" s="28"/>
      <c r="I44" s="28"/>
      <c r="J44" s="33"/>
      <c r="K44" s="28"/>
      <c r="L44" s="28"/>
      <c r="M44" s="28"/>
      <c r="N44" s="28"/>
      <c r="O44" s="28"/>
      <c r="P44" s="28"/>
      <c r="Q44" s="28"/>
      <c r="R44" s="28"/>
      <c r="S44" s="28"/>
    </row>
    <row r="45" spans="1:50" x14ac:dyDescent="0.25">
      <c r="A45" s="3">
        <v>41</v>
      </c>
      <c r="B45" s="29"/>
      <c r="C45" s="28"/>
      <c r="D45" s="28"/>
      <c r="E45" s="28"/>
      <c r="F45" s="28"/>
      <c r="G45" s="28"/>
      <c r="H45" s="28"/>
      <c r="I45" s="28"/>
      <c r="J45" s="33"/>
      <c r="K45" s="28"/>
      <c r="L45" s="28"/>
      <c r="M45" s="28"/>
      <c r="N45" s="28"/>
      <c r="O45" s="28"/>
      <c r="P45" s="28"/>
      <c r="Q45" s="28"/>
      <c r="R45" s="28"/>
      <c r="S45" s="28"/>
    </row>
    <row r="46" spans="1:50" x14ac:dyDescent="0.25">
      <c r="A46" s="3">
        <v>42</v>
      </c>
      <c r="B46" s="29"/>
      <c r="C46" s="28"/>
      <c r="D46" s="28"/>
      <c r="E46" s="28"/>
      <c r="F46" s="28"/>
      <c r="G46" s="28"/>
      <c r="H46" s="28"/>
      <c r="I46" s="28"/>
      <c r="J46" s="33"/>
      <c r="K46" s="28"/>
      <c r="L46" s="28"/>
      <c r="M46" s="28"/>
      <c r="N46" s="28"/>
      <c r="O46" s="28"/>
      <c r="P46" s="28"/>
      <c r="Q46" s="28"/>
      <c r="R46" s="28"/>
      <c r="S46" s="28"/>
    </row>
    <row r="47" spans="1:50" x14ac:dyDescent="0.25">
      <c r="A47" s="3">
        <v>43</v>
      </c>
      <c r="B47" s="29"/>
      <c r="C47" s="28"/>
      <c r="D47" s="28"/>
      <c r="E47" s="28"/>
      <c r="F47" s="28"/>
      <c r="G47" s="28"/>
      <c r="H47" s="28"/>
      <c r="I47" s="28"/>
      <c r="J47" s="33"/>
      <c r="K47" s="28"/>
      <c r="L47" s="28"/>
      <c r="M47" s="28"/>
      <c r="N47" s="28"/>
      <c r="O47" s="28"/>
      <c r="P47" s="28"/>
      <c r="Q47" s="28"/>
      <c r="R47" s="28"/>
      <c r="S47" s="28"/>
    </row>
    <row r="48" spans="1:50" x14ac:dyDescent="0.25">
      <c r="A48" s="3">
        <v>44</v>
      </c>
      <c r="B48" s="29"/>
      <c r="C48" s="28"/>
      <c r="D48" s="28"/>
      <c r="E48" s="28"/>
      <c r="F48" s="28"/>
      <c r="G48" s="28"/>
      <c r="H48" s="28"/>
      <c r="I48" s="28"/>
      <c r="J48" s="33"/>
      <c r="K48" s="28"/>
      <c r="L48" s="28"/>
      <c r="M48" s="28"/>
      <c r="N48" s="28"/>
      <c r="O48" s="28"/>
      <c r="P48" s="28"/>
      <c r="Q48" s="28"/>
      <c r="R48" s="28"/>
      <c r="S48" s="28"/>
    </row>
    <row r="49" spans="1:19" x14ac:dyDescent="0.25">
      <c r="A49" s="3">
        <v>45</v>
      </c>
      <c r="B49" s="29"/>
      <c r="C49" s="28"/>
      <c r="D49" s="28"/>
      <c r="E49" s="28"/>
      <c r="F49" s="28"/>
      <c r="G49" s="28"/>
      <c r="H49" s="28"/>
      <c r="I49" s="28"/>
      <c r="J49" s="33"/>
      <c r="K49" s="28"/>
      <c r="L49" s="28"/>
      <c r="M49" s="28"/>
      <c r="N49" s="28"/>
      <c r="O49" s="28"/>
      <c r="P49" s="28"/>
      <c r="Q49" s="28"/>
      <c r="R49" s="28"/>
      <c r="S49" s="28"/>
    </row>
    <row r="50" spans="1:19" x14ac:dyDescent="0.25">
      <c r="A50" s="3">
        <v>46</v>
      </c>
      <c r="B50" s="29"/>
      <c r="C50" s="28"/>
      <c r="D50" s="28"/>
      <c r="E50" s="28"/>
      <c r="F50" s="28"/>
      <c r="G50" s="28"/>
      <c r="H50" s="28"/>
      <c r="I50" s="28"/>
      <c r="J50" s="33"/>
      <c r="K50" s="28"/>
      <c r="L50" s="28"/>
      <c r="M50" s="28"/>
      <c r="N50" s="28"/>
      <c r="O50" s="28"/>
      <c r="P50" s="28"/>
      <c r="Q50" s="28"/>
      <c r="R50" s="28"/>
      <c r="S50" s="28"/>
    </row>
    <row r="51" spans="1:19" x14ac:dyDescent="0.25">
      <c r="A51" s="3">
        <v>47</v>
      </c>
      <c r="B51" s="29"/>
      <c r="C51" s="28"/>
      <c r="D51" s="28"/>
      <c r="E51" s="28"/>
      <c r="F51" s="28"/>
      <c r="G51" s="28"/>
      <c r="H51" s="28"/>
      <c r="I51" s="28"/>
      <c r="J51" s="33"/>
      <c r="K51" s="28"/>
      <c r="L51" s="28"/>
      <c r="M51" s="28"/>
      <c r="N51" s="28"/>
      <c r="O51" s="28"/>
      <c r="P51" s="28"/>
      <c r="Q51" s="28"/>
      <c r="R51" s="28"/>
      <c r="S51" s="28"/>
    </row>
    <row r="52" spans="1:19" x14ac:dyDescent="0.25">
      <c r="A52" s="3">
        <v>48</v>
      </c>
      <c r="B52" s="29"/>
      <c r="C52" s="28"/>
      <c r="D52" s="28"/>
      <c r="E52" s="28"/>
      <c r="F52" s="28"/>
      <c r="G52" s="28"/>
      <c r="H52" s="28"/>
      <c r="I52" s="28"/>
      <c r="J52" s="33"/>
      <c r="K52" s="28"/>
      <c r="L52" s="28"/>
      <c r="M52" s="28"/>
      <c r="N52" s="28"/>
      <c r="O52" s="28"/>
      <c r="P52" s="28"/>
      <c r="Q52" s="28"/>
      <c r="R52" s="28"/>
      <c r="S52" s="28"/>
    </row>
    <row r="53" spans="1:19" x14ac:dyDescent="0.25">
      <c r="A53" s="3">
        <v>49</v>
      </c>
      <c r="B53" s="29"/>
      <c r="C53" s="28"/>
      <c r="D53" s="28"/>
      <c r="E53" s="28"/>
      <c r="F53" s="28"/>
      <c r="G53" s="28"/>
      <c r="H53" s="28"/>
      <c r="I53" s="28"/>
      <c r="J53" s="33"/>
      <c r="K53" s="28"/>
      <c r="L53" s="28"/>
      <c r="M53" s="28"/>
      <c r="N53" s="28"/>
      <c r="O53" s="28"/>
      <c r="P53" s="28"/>
      <c r="Q53" s="28"/>
      <c r="R53" s="28"/>
      <c r="S53" s="28"/>
    </row>
    <row r="54" spans="1:19" x14ac:dyDescent="0.25">
      <c r="A54" s="3">
        <v>50</v>
      </c>
      <c r="B54" s="29"/>
      <c r="C54" s="28"/>
      <c r="D54" s="28"/>
      <c r="E54" s="28"/>
      <c r="F54" s="28"/>
      <c r="G54" s="28"/>
      <c r="H54" s="28"/>
      <c r="I54" s="28"/>
      <c r="J54" s="33"/>
      <c r="K54" s="28"/>
      <c r="L54" s="28"/>
      <c r="M54" s="28"/>
      <c r="N54" s="28"/>
      <c r="O54" s="28"/>
      <c r="P54" s="28"/>
      <c r="Q54" s="28"/>
      <c r="R54" s="28"/>
      <c r="S54" s="28"/>
    </row>
    <row r="55" spans="1:19" x14ac:dyDescent="0.25">
      <c r="A55" s="3">
        <v>51</v>
      </c>
      <c r="B55" s="29"/>
      <c r="C55" s="28"/>
      <c r="D55" s="28"/>
      <c r="E55" s="28"/>
      <c r="F55" s="28"/>
      <c r="G55" s="28"/>
      <c r="H55" s="28"/>
      <c r="I55" s="28"/>
      <c r="J55" s="33"/>
      <c r="K55" s="28"/>
      <c r="L55" s="28"/>
      <c r="M55" s="28"/>
      <c r="N55" s="28"/>
      <c r="O55" s="28"/>
      <c r="P55" s="28"/>
      <c r="Q55" s="28"/>
      <c r="R55" s="28"/>
      <c r="S55" s="28"/>
    </row>
    <row r="56" spans="1:19" x14ac:dyDescent="0.25">
      <c r="A56" s="3">
        <v>52</v>
      </c>
      <c r="B56" s="29"/>
      <c r="C56" s="28"/>
      <c r="D56" s="28"/>
      <c r="E56" s="28"/>
      <c r="F56" s="28"/>
      <c r="G56" s="28"/>
      <c r="H56" s="28"/>
      <c r="I56" s="28"/>
      <c r="J56" s="33"/>
      <c r="K56" s="28"/>
      <c r="L56" s="28"/>
      <c r="M56" s="28"/>
      <c r="N56" s="28"/>
      <c r="O56" s="28"/>
      <c r="P56" s="28"/>
      <c r="Q56" s="28"/>
      <c r="R56" s="28"/>
      <c r="S56" s="28"/>
    </row>
    <row r="57" spans="1:19" x14ac:dyDescent="0.25">
      <c r="A57" s="3">
        <v>53</v>
      </c>
      <c r="B57" s="29"/>
      <c r="C57" s="28"/>
      <c r="D57" s="28"/>
      <c r="E57" s="28"/>
      <c r="F57" s="28"/>
      <c r="G57" s="28"/>
      <c r="H57" s="28"/>
      <c r="I57" s="28"/>
      <c r="J57" s="33"/>
      <c r="K57" s="28"/>
      <c r="L57" s="28"/>
      <c r="M57" s="28"/>
      <c r="N57" s="28"/>
      <c r="O57" s="28"/>
      <c r="P57" s="28"/>
      <c r="Q57" s="28"/>
      <c r="R57" s="28"/>
      <c r="S57" s="28"/>
    </row>
    <row r="58" spans="1:19" x14ac:dyDescent="0.25">
      <c r="A58" s="3">
        <v>54</v>
      </c>
      <c r="B58" s="29"/>
      <c r="C58" s="28"/>
      <c r="D58" s="28"/>
      <c r="E58" s="28"/>
      <c r="F58" s="28"/>
      <c r="G58" s="28"/>
      <c r="H58" s="28"/>
      <c r="I58" s="28"/>
      <c r="J58" s="33"/>
      <c r="K58" s="28"/>
      <c r="L58" s="28"/>
      <c r="M58" s="28"/>
      <c r="N58" s="28"/>
      <c r="O58" s="28"/>
      <c r="P58" s="28"/>
      <c r="Q58" s="28"/>
      <c r="R58" s="28"/>
      <c r="S58" s="28"/>
    </row>
    <row r="59" spans="1:19" x14ac:dyDescent="0.25">
      <c r="A59" s="3">
        <v>55</v>
      </c>
      <c r="B59" s="29"/>
      <c r="C59" s="28"/>
      <c r="D59" s="28"/>
      <c r="E59" s="28"/>
      <c r="F59" s="28"/>
      <c r="G59" s="28"/>
      <c r="H59" s="28"/>
      <c r="I59" s="28"/>
      <c r="J59" s="33"/>
      <c r="K59" s="28"/>
      <c r="L59" s="28"/>
      <c r="M59" s="28"/>
      <c r="N59" s="28"/>
      <c r="O59" s="28"/>
      <c r="P59" s="28"/>
      <c r="Q59" s="28"/>
      <c r="R59" s="28"/>
      <c r="S59" s="28"/>
    </row>
    <row r="60" spans="1:19" x14ac:dyDescent="0.25">
      <c r="A60" s="3">
        <v>56</v>
      </c>
      <c r="B60" s="29"/>
      <c r="C60" s="28"/>
      <c r="D60" s="28"/>
      <c r="E60" s="28"/>
      <c r="F60" s="28"/>
      <c r="G60" s="28"/>
      <c r="H60" s="28"/>
      <c r="I60" s="28"/>
      <c r="J60" s="33"/>
      <c r="K60" s="28"/>
      <c r="L60" s="28"/>
      <c r="M60" s="28"/>
      <c r="N60" s="28"/>
      <c r="O60" s="28"/>
      <c r="P60" s="28"/>
      <c r="Q60" s="28"/>
      <c r="R60" s="28"/>
      <c r="S60" s="28"/>
    </row>
    <row r="61" spans="1:19" x14ac:dyDescent="0.25">
      <c r="A61" s="3">
        <v>57</v>
      </c>
      <c r="B61" s="29"/>
      <c r="C61" s="28"/>
      <c r="D61" s="28"/>
      <c r="E61" s="28"/>
      <c r="F61" s="28"/>
      <c r="G61" s="28"/>
      <c r="H61" s="28"/>
      <c r="I61" s="28"/>
      <c r="J61" s="33"/>
      <c r="K61" s="28"/>
      <c r="L61" s="28"/>
      <c r="M61" s="28"/>
      <c r="N61" s="28"/>
      <c r="O61" s="28"/>
      <c r="P61" s="28"/>
      <c r="Q61" s="28"/>
      <c r="R61" s="28"/>
      <c r="S61" s="28"/>
    </row>
    <row r="62" spans="1:19" x14ac:dyDescent="0.25">
      <c r="A62" s="3">
        <v>58</v>
      </c>
      <c r="B62" s="29"/>
      <c r="C62" s="28"/>
      <c r="D62" s="28"/>
      <c r="E62" s="28"/>
      <c r="F62" s="28"/>
      <c r="G62" s="28"/>
      <c r="H62" s="28"/>
      <c r="I62" s="28"/>
      <c r="J62" s="33"/>
      <c r="K62" s="28"/>
      <c r="L62" s="28"/>
      <c r="M62" s="28"/>
      <c r="N62" s="28"/>
      <c r="O62" s="28"/>
      <c r="P62" s="28"/>
      <c r="Q62" s="28"/>
      <c r="R62" s="28"/>
      <c r="S62" s="28"/>
    </row>
    <row r="63" spans="1:19" x14ac:dyDescent="0.25">
      <c r="A63" s="3">
        <v>59</v>
      </c>
      <c r="B63" s="29"/>
      <c r="C63" s="28"/>
      <c r="D63" s="28"/>
      <c r="E63" s="28"/>
      <c r="F63" s="28"/>
      <c r="G63" s="28"/>
      <c r="H63" s="28"/>
      <c r="I63" s="28"/>
      <c r="J63" s="33"/>
      <c r="K63" s="28"/>
      <c r="L63" s="28"/>
      <c r="M63" s="28"/>
      <c r="N63" s="28"/>
      <c r="O63" s="28"/>
      <c r="P63" s="28"/>
      <c r="Q63" s="28"/>
      <c r="R63" s="28"/>
      <c r="S63" s="28"/>
    </row>
    <row r="64" spans="1:19" x14ac:dyDescent="0.25">
      <c r="A64" s="3">
        <v>60</v>
      </c>
      <c r="B64" s="29"/>
      <c r="C64" s="28"/>
      <c r="D64" s="28"/>
      <c r="E64" s="28"/>
      <c r="F64" s="28"/>
      <c r="G64" s="28"/>
      <c r="H64" s="28"/>
      <c r="I64" s="28"/>
      <c r="J64" s="33"/>
      <c r="K64" s="28"/>
      <c r="L64" s="28"/>
      <c r="M64" s="28"/>
      <c r="N64" s="28"/>
      <c r="O64" s="28"/>
      <c r="P64" s="28"/>
      <c r="Q64" s="28"/>
      <c r="R64" s="28"/>
      <c r="S64" s="28"/>
    </row>
    <row r="65" spans="1:19" x14ac:dyDescent="0.25">
      <c r="A65" s="3">
        <v>61</v>
      </c>
      <c r="B65" s="29"/>
      <c r="C65" s="28"/>
      <c r="D65" s="28"/>
      <c r="E65" s="28"/>
      <c r="F65" s="28"/>
      <c r="G65" s="28"/>
      <c r="H65" s="28"/>
      <c r="I65" s="28"/>
      <c r="J65" s="33"/>
      <c r="K65" s="28"/>
      <c r="L65" s="28"/>
      <c r="M65" s="28"/>
      <c r="N65" s="28"/>
      <c r="O65" s="28"/>
      <c r="P65" s="28"/>
      <c r="Q65" s="28"/>
      <c r="R65" s="28"/>
      <c r="S65" s="28"/>
    </row>
  </sheetData>
  <autoFilter ref="A3:S65">
    <filterColumn colId="3" showButton="0"/>
    <filterColumn colId="4" showButton="0"/>
    <filterColumn colId="5" showButton="0"/>
    <filterColumn colId="6" showButton="0"/>
    <filterColumn colId="7" showButton="0"/>
  </autoFilter>
  <mergeCells count="58">
    <mergeCell ref="AD38:AD40"/>
    <mergeCell ref="AD41:AD43"/>
    <mergeCell ref="AK34:AK36"/>
    <mergeCell ref="AR34:AR36"/>
    <mergeCell ref="AD34:AD36"/>
    <mergeCell ref="AG34:AG36"/>
    <mergeCell ref="AD19:AD21"/>
    <mergeCell ref="AD22:AD24"/>
    <mergeCell ref="AD25:AD27"/>
    <mergeCell ref="AD28:AD30"/>
    <mergeCell ref="AD31:AD33"/>
    <mergeCell ref="X34:X36"/>
    <mergeCell ref="X38:X40"/>
    <mergeCell ref="X41:X43"/>
    <mergeCell ref="AA19:AA21"/>
    <mergeCell ref="AA22:AA24"/>
    <mergeCell ref="AA25:AA27"/>
    <mergeCell ref="AA28:AA30"/>
    <mergeCell ref="AA31:AA33"/>
    <mergeCell ref="AA38:AA40"/>
    <mergeCell ref="AA41:AA43"/>
    <mergeCell ref="AA34:AA36"/>
    <mergeCell ref="X19:X21"/>
    <mergeCell ref="X22:X24"/>
    <mergeCell ref="X25:X27"/>
    <mergeCell ref="X28:X30"/>
    <mergeCell ref="X31:X33"/>
    <mergeCell ref="A1:S1"/>
    <mergeCell ref="U1:W1"/>
    <mergeCell ref="A2:S2"/>
    <mergeCell ref="U2:V2"/>
    <mergeCell ref="A3:A4"/>
    <mergeCell ref="B3:B4"/>
    <mergeCell ref="C3:C4"/>
    <mergeCell ref="D3:I3"/>
    <mergeCell ref="J3:J4"/>
    <mergeCell ref="K3:K4"/>
    <mergeCell ref="U6:U12"/>
    <mergeCell ref="L3:L4"/>
    <mergeCell ref="M3:M4"/>
    <mergeCell ref="N3:N4"/>
    <mergeCell ref="O3:O4"/>
    <mergeCell ref="P3:P4"/>
    <mergeCell ref="Q3:Q4"/>
    <mergeCell ref="R3:R4"/>
    <mergeCell ref="S3:S4"/>
    <mergeCell ref="U3:V3"/>
    <mergeCell ref="U4:V4"/>
    <mergeCell ref="U5:V5"/>
    <mergeCell ref="U34:U37"/>
    <mergeCell ref="U38:U40"/>
    <mergeCell ref="U41:U43"/>
    <mergeCell ref="U13:U18"/>
    <mergeCell ref="U19:U21"/>
    <mergeCell ref="U22:U24"/>
    <mergeCell ref="U25:U27"/>
    <mergeCell ref="U28:U30"/>
    <mergeCell ref="U31:U33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65"/>
  <sheetViews>
    <sheetView zoomScale="50" zoomScaleNormal="50" workbookViewId="0">
      <selection activeCell="B5" sqref="B5:O36"/>
    </sheetView>
  </sheetViews>
  <sheetFormatPr baseColWidth="10" defaultRowHeight="15" x14ac:dyDescent="0.25"/>
  <cols>
    <col min="1" max="1" width="6.28515625" style="1" bestFit="1" customWidth="1"/>
    <col min="2" max="2" width="17.42578125" customWidth="1"/>
    <col min="4" max="4" width="9.7109375" bestFit="1" customWidth="1"/>
    <col min="5" max="5" width="10.140625" bestFit="1" customWidth="1"/>
    <col min="6" max="6" width="9.7109375" bestFit="1" customWidth="1"/>
    <col min="7" max="7" width="10.140625" bestFit="1" customWidth="1"/>
    <col min="8" max="8" width="9.7109375" bestFit="1" customWidth="1"/>
    <col min="9" max="9" width="14.140625" customWidth="1"/>
    <col min="10" max="10" width="20.140625" bestFit="1" customWidth="1"/>
    <col min="11" max="11" width="16" bestFit="1" customWidth="1"/>
    <col min="12" max="19" width="14.28515625" customWidth="1"/>
    <col min="21" max="21" width="48.42578125" style="7" customWidth="1"/>
    <col min="22" max="22" width="23.85546875" bestFit="1" customWidth="1"/>
    <col min="23" max="23" width="11.42578125" style="1"/>
    <col min="24" max="24" width="14" customWidth="1"/>
    <col min="27" max="27" width="14.85546875" customWidth="1"/>
    <col min="30" max="30" width="13.7109375" customWidth="1"/>
    <col min="33" max="33" width="13.7109375" customWidth="1"/>
    <col min="37" max="37" width="13.85546875" customWidth="1"/>
    <col min="38" max="38" width="11.42578125" customWidth="1"/>
    <col min="40" max="40" width="15.42578125" customWidth="1"/>
    <col min="44" max="44" width="12.7109375" customWidth="1"/>
    <col min="47" max="47" width="14.140625" customWidth="1"/>
  </cols>
  <sheetData>
    <row r="1" spans="1:23" ht="15.75" thickBot="1" x14ac:dyDescent="0.3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U1" s="144" t="s">
        <v>46</v>
      </c>
      <c r="V1" s="145"/>
      <c r="W1" s="148"/>
    </row>
    <row r="2" spans="1:23" ht="15.75" thickBot="1" x14ac:dyDescent="0.3">
      <c r="A2" s="123" t="s">
        <v>21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U2" s="144" t="s">
        <v>44</v>
      </c>
      <c r="V2" s="145"/>
      <c r="W2" s="17">
        <f>+COUNTIF(C5:C65,"M")</f>
        <v>16</v>
      </c>
    </row>
    <row r="3" spans="1:23" ht="15.75" customHeight="1" thickBot="1" x14ac:dyDescent="0.3">
      <c r="A3" s="149" t="s">
        <v>22</v>
      </c>
      <c r="B3" s="151" t="s">
        <v>2</v>
      </c>
      <c r="C3" s="149" t="s">
        <v>1</v>
      </c>
      <c r="D3" s="123" t="s">
        <v>3</v>
      </c>
      <c r="E3" s="123"/>
      <c r="F3" s="123"/>
      <c r="G3" s="123"/>
      <c r="H3" s="123"/>
      <c r="I3" s="123"/>
      <c r="J3" s="149" t="s">
        <v>11</v>
      </c>
      <c r="K3" s="149" t="s">
        <v>10</v>
      </c>
      <c r="L3" s="142" t="s">
        <v>12</v>
      </c>
      <c r="M3" s="142" t="s">
        <v>13</v>
      </c>
      <c r="N3" s="142" t="s">
        <v>14</v>
      </c>
      <c r="O3" s="142" t="s">
        <v>15</v>
      </c>
      <c r="P3" s="142" t="s">
        <v>16</v>
      </c>
      <c r="Q3" s="142" t="s">
        <v>17</v>
      </c>
      <c r="R3" s="142" t="s">
        <v>18</v>
      </c>
      <c r="S3" s="142" t="s">
        <v>19</v>
      </c>
      <c r="U3" s="144" t="s">
        <v>45</v>
      </c>
      <c r="V3" s="145"/>
      <c r="W3" s="17">
        <f>+COUNTIF(C5:C65,"F")</f>
        <v>19</v>
      </c>
    </row>
    <row r="4" spans="1:23" ht="15.75" customHeight="1" thickBot="1" x14ac:dyDescent="0.3">
      <c r="A4" s="150"/>
      <c r="B4" s="152"/>
      <c r="C4" s="150"/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150"/>
      <c r="K4" s="150"/>
      <c r="L4" s="143"/>
      <c r="M4" s="143"/>
      <c r="N4" s="143"/>
      <c r="O4" s="143"/>
      <c r="P4" s="143"/>
      <c r="Q4" s="143"/>
      <c r="R4" s="143"/>
      <c r="S4" s="143"/>
      <c r="U4" s="146" t="s">
        <v>29</v>
      </c>
      <c r="V4" s="147"/>
      <c r="W4" s="17">
        <f>+COUNTIF(C5:C65,"Blanco")</f>
        <v>0</v>
      </c>
    </row>
    <row r="5" spans="1:23" ht="15.75" thickBot="1" x14ac:dyDescent="0.3">
      <c r="A5" s="3">
        <v>1</v>
      </c>
      <c r="B5" s="29">
        <v>42929</v>
      </c>
      <c r="C5" s="28" t="s">
        <v>23</v>
      </c>
      <c r="D5" s="28">
        <v>1</v>
      </c>
      <c r="E5" s="28"/>
      <c r="F5" s="28"/>
      <c r="G5" s="28"/>
      <c r="H5" s="28"/>
      <c r="I5" s="28"/>
      <c r="J5" s="33" t="s">
        <v>87</v>
      </c>
      <c r="K5" s="33" t="s">
        <v>84</v>
      </c>
      <c r="L5" s="28" t="s">
        <v>25</v>
      </c>
      <c r="M5" s="28" t="s">
        <v>25</v>
      </c>
      <c r="N5" s="28" t="s">
        <v>25</v>
      </c>
      <c r="O5" s="28" t="s">
        <v>25</v>
      </c>
      <c r="P5" s="28" t="s">
        <v>25</v>
      </c>
      <c r="Q5" s="28" t="s">
        <v>34</v>
      </c>
      <c r="R5" s="28" t="s">
        <v>25</v>
      </c>
      <c r="S5" s="28" t="s">
        <v>25</v>
      </c>
      <c r="U5" s="146" t="s">
        <v>47</v>
      </c>
      <c r="V5" s="147"/>
      <c r="W5" s="18">
        <f>SUM(W2:W4)</f>
        <v>35</v>
      </c>
    </row>
    <row r="6" spans="1:23" x14ac:dyDescent="0.25">
      <c r="A6" s="3">
        <v>2</v>
      </c>
      <c r="B6" s="29">
        <v>42929</v>
      </c>
      <c r="C6" s="28" t="s">
        <v>30</v>
      </c>
      <c r="D6" s="28"/>
      <c r="E6" s="28"/>
      <c r="F6" s="28">
        <v>1</v>
      </c>
      <c r="G6" s="28"/>
      <c r="H6" s="28"/>
      <c r="I6" s="28"/>
      <c r="J6" s="33" t="s">
        <v>87</v>
      </c>
      <c r="K6" s="33" t="s">
        <v>84</v>
      </c>
      <c r="L6" s="28" t="s">
        <v>20</v>
      </c>
      <c r="M6" s="28" t="s">
        <v>20</v>
      </c>
      <c r="N6" s="28" t="s">
        <v>25</v>
      </c>
      <c r="O6" s="28" t="s">
        <v>25</v>
      </c>
      <c r="P6" s="28" t="s">
        <v>25</v>
      </c>
      <c r="Q6" s="28" t="s">
        <v>28</v>
      </c>
      <c r="R6" s="28" t="s">
        <v>25</v>
      </c>
      <c r="S6" s="28" t="s">
        <v>20</v>
      </c>
      <c r="U6" s="140" t="s">
        <v>3</v>
      </c>
      <c r="V6" s="11" t="s">
        <v>4</v>
      </c>
      <c r="W6" s="14">
        <f>+COUNTIF(D5:D65,"1")</f>
        <v>8</v>
      </c>
    </row>
    <row r="7" spans="1:23" x14ac:dyDescent="0.25">
      <c r="A7" s="3">
        <v>3</v>
      </c>
      <c r="B7" s="29">
        <v>42929</v>
      </c>
      <c r="C7" s="28" t="s">
        <v>23</v>
      </c>
      <c r="D7" s="28">
        <v>1</v>
      </c>
      <c r="E7" s="28"/>
      <c r="F7" s="28"/>
      <c r="G7" s="28"/>
      <c r="H7" s="28"/>
      <c r="I7" s="28"/>
      <c r="J7" s="33" t="s">
        <v>87</v>
      </c>
      <c r="K7" s="33" t="s">
        <v>84</v>
      </c>
      <c r="L7" s="28" t="s">
        <v>25</v>
      </c>
      <c r="M7" s="28" t="s">
        <v>20</v>
      </c>
      <c r="N7" s="28" t="s">
        <v>25</v>
      </c>
      <c r="O7" s="28" t="s">
        <v>25</v>
      </c>
      <c r="P7" s="28" t="s">
        <v>25</v>
      </c>
      <c r="Q7" s="28" t="s">
        <v>26</v>
      </c>
      <c r="R7" s="28" t="s">
        <v>25</v>
      </c>
      <c r="S7" s="28" t="s">
        <v>25</v>
      </c>
      <c r="U7" s="141"/>
      <c r="V7" s="8" t="s">
        <v>5</v>
      </c>
      <c r="W7" s="15">
        <f>+COUNTIF(E5:E65,"1")</f>
        <v>4</v>
      </c>
    </row>
    <row r="8" spans="1:23" x14ac:dyDescent="0.25">
      <c r="A8" s="3">
        <v>4</v>
      </c>
      <c r="B8" s="29">
        <v>42929</v>
      </c>
      <c r="C8" s="28" t="s">
        <v>23</v>
      </c>
      <c r="D8" s="28"/>
      <c r="E8" s="28">
        <v>1</v>
      </c>
      <c r="F8" s="28"/>
      <c r="G8" s="28"/>
      <c r="H8" s="28"/>
      <c r="I8" s="28"/>
      <c r="J8" s="33" t="s">
        <v>87</v>
      </c>
      <c r="K8" s="33" t="s">
        <v>84</v>
      </c>
      <c r="L8" s="28" t="s">
        <v>20</v>
      </c>
      <c r="M8" s="28" t="s">
        <v>25</v>
      </c>
      <c r="N8" s="28" t="s">
        <v>25</v>
      </c>
      <c r="O8" s="28" t="s">
        <v>25</v>
      </c>
      <c r="P8" s="28" t="s">
        <v>25</v>
      </c>
      <c r="Q8" s="28" t="s">
        <v>27</v>
      </c>
      <c r="R8" s="28" t="s">
        <v>25</v>
      </c>
      <c r="S8" s="28" t="s">
        <v>25</v>
      </c>
      <c r="T8" s="30"/>
      <c r="U8" s="141"/>
      <c r="V8" s="8" t="s">
        <v>6</v>
      </c>
      <c r="W8" s="15">
        <f>+COUNTIF(F5:F41,"1")</f>
        <v>4</v>
      </c>
    </row>
    <row r="9" spans="1:23" x14ac:dyDescent="0.25">
      <c r="A9" s="3">
        <v>5</v>
      </c>
      <c r="B9" s="29">
        <v>42929</v>
      </c>
      <c r="C9" s="28" t="s">
        <v>23</v>
      </c>
      <c r="D9" s="28"/>
      <c r="E9" s="28">
        <v>1</v>
      </c>
      <c r="F9" s="28"/>
      <c r="G9" s="28"/>
      <c r="H9" s="28"/>
      <c r="I9" s="28"/>
      <c r="J9" s="33" t="s">
        <v>87</v>
      </c>
      <c r="K9" s="33" t="s">
        <v>84</v>
      </c>
      <c r="L9" s="28" t="s">
        <v>20</v>
      </c>
      <c r="M9" s="28" t="s">
        <v>20</v>
      </c>
      <c r="N9" s="28" t="s">
        <v>20</v>
      </c>
      <c r="O9" s="28" t="s">
        <v>25</v>
      </c>
      <c r="P9" s="28" t="s">
        <v>25</v>
      </c>
      <c r="Q9" s="28" t="s">
        <v>27</v>
      </c>
      <c r="R9" s="28" t="s">
        <v>25</v>
      </c>
      <c r="S9" s="28" t="s">
        <v>25</v>
      </c>
      <c r="U9" s="141"/>
      <c r="V9" s="8" t="s">
        <v>7</v>
      </c>
      <c r="W9" s="15">
        <f>+COUNTIF(G5:G65,"1")</f>
        <v>1</v>
      </c>
    </row>
    <row r="10" spans="1:23" x14ac:dyDescent="0.25">
      <c r="A10" s="3">
        <v>6</v>
      </c>
      <c r="B10" s="29">
        <v>42929</v>
      </c>
      <c r="C10" s="28" t="s">
        <v>23</v>
      </c>
      <c r="D10" s="28"/>
      <c r="E10" s="28">
        <v>1</v>
      </c>
      <c r="F10" s="28"/>
      <c r="G10" s="28"/>
      <c r="H10" s="28"/>
      <c r="I10" s="28"/>
      <c r="J10" s="33" t="s">
        <v>87</v>
      </c>
      <c r="K10" s="33" t="s">
        <v>84</v>
      </c>
      <c r="L10" s="28" t="s">
        <v>25</v>
      </c>
      <c r="M10" s="28" t="s">
        <v>25</v>
      </c>
      <c r="N10" s="28" t="s">
        <v>25</v>
      </c>
      <c r="O10" s="28" t="s">
        <v>25</v>
      </c>
      <c r="P10" s="28" t="s">
        <v>25</v>
      </c>
      <c r="Q10" s="28" t="s">
        <v>26</v>
      </c>
      <c r="R10" s="28" t="s">
        <v>25</v>
      </c>
      <c r="S10" s="28" t="s">
        <v>25</v>
      </c>
      <c r="U10" s="141"/>
      <c r="V10" s="8" t="s">
        <v>8</v>
      </c>
      <c r="W10" s="15">
        <f>+COUNTIF(H5:H65,"1")</f>
        <v>4</v>
      </c>
    </row>
    <row r="11" spans="1:23" x14ac:dyDescent="0.25">
      <c r="A11" s="3">
        <v>7</v>
      </c>
      <c r="B11" s="29">
        <v>42929</v>
      </c>
      <c r="C11" s="28" t="s">
        <v>30</v>
      </c>
      <c r="D11" s="28"/>
      <c r="E11" s="28"/>
      <c r="F11" s="28"/>
      <c r="G11" s="28"/>
      <c r="H11" s="28"/>
      <c r="I11" s="28">
        <v>1</v>
      </c>
      <c r="J11" s="33" t="s">
        <v>87</v>
      </c>
      <c r="K11" s="33" t="s">
        <v>84</v>
      </c>
      <c r="L11" s="28" t="s">
        <v>25</v>
      </c>
      <c r="M11" s="28" t="s">
        <v>25</v>
      </c>
      <c r="N11" s="28" t="s">
        <v>25</v>
      </c>
      <c r="O11" s="28" t="s">
        <v>25</v>
      </c>
      <c r="P11" s="28" t="s">
        <v>25</v>
      </c>
      <c r="Q11" s="28" t="s">
        <v>27</v>
      </c>
      <c r="R11" s="28" t="s">
        <v>20</v>
      </c>
      <c r="S11" s="28" t="s">
        <v>25</v>
      </c>
      <c r="U11" s="141"/>
      <c r="V11" s="22" t="s">
        <v>9</v>
      </c>
      <c r="W11" s="23">
        <f>+COUNTIF(I5:I65,"1")</f>
        <v>14</v>
      </c>
    </row>
    <row r="12" spans="1:23" ht="15.75" thickBot="1" x14ac:dyDescent="0.3">
      <c r="A12" s="3">
        <v>8</v>
      </c>
      <c r="B12" s="29">
        <v>42929</v>
      </c>
      <c r="C12" s="28" t="s">
        <v>23</v>
      </c>
      <c r="D12" s="28">
        <v>1</v>
      </c>
      <c r="E12" s="28"/>
      <c r="F12" s="28"/>
      <c r="G12" s="28"/>
      <c r="H12" s="28"/>
      <c r="I12" s="28"/>
      <c r="J12" s="33" t="s">
        <v>87</v>
      </c>
      <c r="K12" s="33" t="s">
        <v>84</v>
      </c>
      <c r="L12" s="28" t="s">
        <v>25</v>
      </c>
      <c r="M12" s="28" t="s">
        <v>25</v>
      </c>
      <c r="N12" s="28" t="s">
        <v>25</v>
      </c>
      <c r="O12" s="28" t="s">
        <v>25</v>
      </c>
      <c r="P12" s="28" t="s">
        <v>25</v>
      </c>
      <c r="Q12" s="28" t="s">
        <v>27</v>
      </c>
      <c r="R12" s="28" t="s">
        <v>25</v>
      </c>
      <c r="S12" s="28" t="s">
        <v>25</v>
      </c>
      <c r="U12" s="141"/>
      <c r="V12" s="34" t="s">
        <v>29</v>
      </c>
      <c r="W12" s="23">
        <f>+COUNTIF(I5:I65,"Blanco")</f>
        <v>0</v>
      </c>
    </row>
    <row r="13" spans="1:23" x14ac:dyDescent="0.25">
      <c r="A13" s="3">
        <v>9</v>
      </c>
      <c r="B13" s="29">
        <v>42929</v>
      </c>
      <c r="C13" s="28" t="s">
        <v>23</v>
      </c>
      <c r="D13" s="28">
        <v>1</v>
      </c>
      <c r="E13" s="28"/>
      <c r="F13" s="28"/>
      <c r="G13" s="28"/>
      <c r="H13" s="28"/>
      <c r="I13" s="28"/>
      <c r="J13" s="33" t="s">
        <v>87</v>
      </c>
      <c r="K13" s="33" t="s">
        <v>84</v>
      </c>
      <c r="L13" s="28" t="s">
        <v>25</v>
      </c>
      <c r="M13" s="28" t="s">
        <v>20</v>
      </c>
      <c r="N13" s="28" t="s">
        <v>20</v>
      </c>
      <c r="O13" s="28" t="s">
        <v>25</v>
      </c>
      <c r="P13" s="28" t="s">
        <v>25</v>
      </c>
      <c r="Q13" s="28" t="s">
        <v>26</v>
      </c>
      <c r="R13" s="28" t="s">
        <v>25</v>
      </c>
      <c r="S13" s="28" t="s">
        <v>20</v>
      </c>
      <c r="U13" s="137" t="s">
        <v>35</v>
      </c>
      <c r="V13" s="19" t="s">
        <v>84</v>
      </c>
      <c r="W13" s="14">
        <f>+COUNTIF(K5:K65,"Trujillo")</f>
        <v>15</v>
      </c>
    </row>
    <row r="14" spans="1:23" x14ac:dyDescent="0.25">
      <c r="A14" s="3">
        <v>10</v>
      </c>
      <c r="B14" s="29">
        <v>42929</v>
      </c>
      <c r="C14" s="28" t="s">
        <v>30</v>
      </c>
      <c r="D14" s="28"/>
      <c r="E14" s="28"/>
      <c r="F14" s="28"/>
      <c r="G14" s="28"/>
      <c r="H14" s="28">
        <v>1</v>
      </c>
      <c r="I14" s="28"/>
      <c r="J14" s="33" t="s">
        <v>87</v>
      </c>
      <c r="K14" s="33" t="s">
        <v>84</v>
      </c>
      <c r="L14" s="28" t="s">
        <v>25</v>
      </c>
      <c r="M14" s="28" t="s">
        <v>25</v>
      </c>
      <c r="N14" s="28" t="s">
        <v>25</v>
      </c>
      <c r="O14" s="28" t="s">
        <v>25</v>
      </c>
      <c r="P14" s="28" t="s">
        <v>25</v>
      </c>
      <c r="Q14" s="28" t="s">
        <v>26</v>
      </c>
      <c r="R14" s="28" t="s">
        <v>25</v>
      </c>
      <c r="S14" s="28" t="s">
        <v>25</v>
      </c>
      <c r="U14" s="109"/>
      <c r="V14" s="6" t="s">
        <v>85</v>
      </c>
      <c r="W14" s="15">
        <f>+COUNTIF(K5:K65,"Santa Fe")</f>
        <v>10</v>
      </c>
    </row>
    <row r="15" spans="1:23" x14ac:dyDescent="0.25">
      <c r="A15" s="3">
        <v>11</v>
      </c>
      <c r="B15" s="29">
        <v>42929</v>
      </c>
      <c r="C15" s="28" t="s">
        <v>23</v>
      </c>
      <c r="D15" s="28"/>
      <c r="E15" s="28">
        <v>1</v>
      </c>
      <c r="F15" s="28"/>
      <c r="G15" s="28"/>
      <c r="H15" s="28"/>
      <c r="I15" s="28"/>
      <c r="J15" s="33" t="s">
        <v>87</v>
      </c>
      <c r="K15" s="33" t="s">
        <v>84</v>
      </c>
      <c r="L15" s="28" t="s">
        <v>20</v>
      </c>
      <c r="M15" s="28" t="s">
        <v>20</v>
      </c>
      <c r="N15" s="28" t="s">
        <v>20</v>
      </c>
      <c r="O15" s="28" t="s">
        <v>20</v>
      </c>
      <c r="P15" s="28" t="s">
        <v>25</v>
      </c>
      <c r="Q15" s="28" t="s">
        <v>27</v>
      </c>
      <c r="R15" s="28" t="s">
        <v>20</v>
      </c>
      <c r="S15" s="28" t="s">
        <v>20</v>
      </c>
      <c r="U15" s="109"/>
      <c r="V15" s="35" t="s">
        <v>86</v>
      </c>
      <c r="W15" s="15">
        <f>+COUNTIF(K5:K65,"Limon")</f>
        <v>10</v>
      </c>
    </row>
    <row r="16" spans="1:23" x14ac:dyDescent="0.25">
      <c r="A16" s="3">
        <v>12</v>
      </c>
      <c r="B16" s="29">
        <v>42929</v>
      </c>
      <c r="C16" s="28" t="s">
        <v>30</v>
      </c>
      <c r="D16" s="28"/>
      <c r="E16" s="28"/>
      <c r="F16" s="28"/>
      <c r="G16" s="28"/>
      <c r="H16" s="28"/>
      <c r="I16" s="28">
        <v>1</v>
      </c>
      <c r="J16" s="33" t="s">
        <v>87</v>
      </c>
      <c r="K16" s="33" t="s">
        <v>84</v>
      </c>
      <c r="L16" s="28" t="s">
        <v>25</v>
      </c>
      <c r="M16" s="28" t="s">
        <v>25</v>
      </c>
      <c r="N16" s="28" t="s">
        <v>25</v>
      </c>
      <c r="O16" s="28" t="s">
        <v>25</v>
      </c>
      <c r="P16" s="28" t="s">
        <v>25</v>
      </c>
      <c r="Q16" s="28" t="s">
        <v>27</v>
      </c>
      <c r="R16" s="28" t="s">
        <v>20</v>
      </c>
      <c r="S16" s="28" t="s">
        <v>25</v>
      </c>
      <c r="U16" s="109"/>
      <c r="V16" s="6"/>
      <c r="W16" s="15"/>
    </row>
    <row r="17" spans="1:50" x14ac:dyDescent="0.25">
      <c r="A17" s="3">
        <v>13</v>
      </c>
      <c r="B17" s="29">
        <v>42929</v>
      </c>
      <c r="C17" s="28" t="s">
        <v>30</v>
      </c>
      <c r="D17" s="28">
        <v>1</v>
      </c>
      <c r="E17" s="28"/>
      <c r="F17" s="28"/>
      <c r="G17" s="28"/>
      <c r="H17" s="28"/>
      <c r="I17" s="28"/>
      <c r="J17" s="33" t="s">
        <v>87</v>
      </c>
      <c r="K17" s="33" t="s">
        <v>84</v>
      </c>
      <c r="L17" s="28" t="s">
        <v>20</v>
      </c>
      <c r="M17" s="28" t="s">
        <v>20</v>
      </c>
      <c r="N17" s="28" t="s">
        <v>25</v>
      </c>
      <c r="O17" s="28" t="s">
        <v>25</v>
      </c>
      <c r="P17" s="28" t="s">
        <v>25</v>
      </c>
      <c r="Q17" s="28" t="s">
        <v>27</v>
      </c>
      <c r="R17" s="28" t="s">
        <v>20</v>
      </c>
      <c r="S17" s="28" t="s">
        <v>20</v>
      </c>
      <c r="U17" s="138"/>
      <c r="V17" s="34"/>
      <c r="W17" s="15"/>
    </row>
    <row r="18" spans="1:50" ht="15.75" thickBot="1" x14ac:dyDescent="0.3">
      <c r="A18" s="3">
        <v>14</v>
      </c>
      <c r="B18" s="29">
        <v>42929</v>
      </c>
      <c r="C18" s="28" t="s">
        <v>30</v>
      </c>
      <c r="D18" s="28"/>
      <c r="E18" s="28"/>
      <c r="F18" s="28"/>
      <c r="G18" s="28"/>
      <c r="H18" s="28"/>
      <c r="I18" s="28">
        <v>1</v>
      </c>
      <c r="J18" s="33" t="s">
        <v>87</v>
      </c>
      <c r="K18" s="33" t="s">
        <v>84</v>
      </c>
      <c r="L18" s="28" t="s">
        <v>20</v>
      </c>
      <c r="M18" s="28" t="s">
        <v>20</v>
      </c>
      <c r="N18" s="28" t="s">
        <v>25</v>
      </c>
      <c r="O18" s="28" t="s">
        <v>25</v>
      </c>
      <c r="P18" s="28" t="s">
        <v>25</v>
      </c>
      <c r="Q18" s="28" t="s">
        <v>27</v>
      </c>
      <c r="R18" s="28" t="s">
        <v>25</v>
      </c>
      <c r="S18" s="28" t="s">
        <v>20</v>
      </c>
      <c r="U18" s="110"/>
      <c r="V18" s="26"/>
      <c r="W18" s="16"/>
    </row>
    <row r="19" spans="1:50" ht="15" customHeight="1" x14ac:dyDescent="0.25">
      <c r="A19" s="3">
        <v>15</v>
      </c>
      <c r="B19" s="29">
        <v>42929</v>
      </c>
      <c r="C19" s="28" t="s">
        <v>23</v>
      </c>
      <c r="D19" s="28"/>
      <c r="E19" s="28"/>
      <c r="F19" s="28"/>
      <c r="G19" s="28"/>
      <c r="H19" s="28">
        <v>1</v>
      </c>
      <c r="I19" s="28"/>
      <c r="J19" s="33" t="s">
        <v>87</v>
      </c>
      <c r="K19" s="33" t="s">
        <v>84</v>
      </c>
      <c r="L19" s="28" t="s">
        <v>20</v>
      </c>
      <c r="M19" s="28" t="s">
        <v>20</v>
      </c>
      <c r="N19" s="28" t="s">
        <v>25</v>
      </c>
      <c r="O19" s="28" t="s">
        <v>25</v>
      </c>
      <c r="P19" s="28" t="s">
        <v>25</v>
      </c>
      <c r="Q19" s="28" t="s">
        <v>26</v>
      </c>
      <c r="R19" s="28" t="s">
        <v>25</v>
      </c>
      <c r="S19" s="28" t="s">
        <v>25</v>
      </c>
      <c r="U19" s="139" t="s">
        <v>36</v>
      </c>
      <c r="V19" s="10" t="s">
        <v>20</v>
      </c>
      <c r="W19" s="25">
        <f>+COUNTIF(L5:L65,"Si")</f>
        <v>14</v>
      </c>
      <c r="X19" s="125" t="s">
        <v>118</v>
      </c>
      <c r="Y19" s="48" t="s">
        <v>114</v>
      </c>
      <c r="Z19" s="49">
        <f>COUNTIFS(C5:$C$65,"M",L5:L65,"Si")</f>
        <v>6</v>
      </c>
      <c r="AA19" s="125" t="s">
        <v>117</v>
      </c>
      <c r="AB19" s="48" t="s">
        <v>114</v>
      </c>
      <c r="AC19" s="55">
        <f>COUNTIFS(C5:$C$65,"M",L5:L65,"No")</f>
        <v>10</v>
      </c>
      <c r="AD19" s="125" t="s">
        <v>118</v>
      </c>
      <c r="AE19" s="48" t="s">
        <v>4</v>
      </c>
      <c r="AF19" s="48">
        <f>COUNTIFS($D$5:$D$65,"1",$L$5:$L$65,"Si")</f>
        <v>2</v>
      </c>
      <c r="AG19" s="48" t="s">
        <v>7</v>
      </c>
      <c r="AH19" s="48">
        <f>COUNTIFS($G$5:$G$65,"1",$L$5:$L$65,"Si")</f>
        <v>0</v>
      </c>
      <c r="AI19" s="48" t="s">
        <v>29</v>
      </c>
      <c r="AJ19" s="49">
        <f>COUNTIFS($I$5:$I$65,"Blanco",$L$5:$L$65,"Si")</f>
        <v>0</v>
      </c>
      <c r="AK19" s="50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x14ac:dyDescent="0.25">
      <c r="A20" s="3">
        <v>16</v>
      </c>
      <c r="B20" s="29">
        <v>42937</v>
      </c>
      <c r="C20" s="28" t="s">
        <v>23</v>
      </c>
      <c r="D20" s="28"/>
      <c r="E20" s="28"/>
      <c r="F20" s="28">
        <v>1</v>
      </c>
      <c r="G20" s="28"/>
      <c r="H20" s="28"/>
      <c r="I20" s="28"/>
      <c r="J20" s="33" t="s">
        <v>87</v>
      </c>
      <c r="K20" s="6" t="s">
        <v>85</v>
      </c>
      <c r="L20" s="28" t="s">
        <v>20</v>
      </c>
      <c r="M20" s="28" t="s">
        <v>25</v>
      </c>
      <c r="N20" s="28" t="s">
        <v>20</v>
      </c>
      <c r="O20" s="28" t="s">
        <v>20</v>
      </c>
      <c r="P20" s="28" t="s">
        <v>20</v>
      </c>
      <c r="Q20" s="28" t="s">
        <v>27</v>
      </c>
      <c r="R20" s="28" t="s">
        <v>20</v>
      </c>
      <c r="S20" s="28" t="s">
        <v>20</v>
      </c>
      <c r="U20" s="109"/>
      <c r="V20" s="9" t="s">
        <v>25</v>
      </c>
      <c r="W20" s="15">
        <f>+COUNTIF(L5:L65,"No")</f>
        <v>21</v>
      </c>
      <c r="X20" s="126"/>
      <c r="Y20" s="6" t="s">
        <v>115</v>
      </c>
      <c r="Z20" s="51">
        <f>COUNTIFS(C5:$C$65,"F",L5:L65,"Si")</f>
        <v>8</v>
      </c>
      <c r="AA20" s="126"/>
      <c r="AB20" s="6" t="s">
        <v>115</v>
      </c>
      <c r="AC20" s="57">
        <f>COUNTIFS(C5:$C$65,"F",L5:L65,"No")</f>
        <v>11</v>
      </c>
      <c r="AD20" s="126"/>
      <c r="AE20" s="6" t="s">
        <v>5</v>
      </c>
      <c r="AF20" s="6">
        <f>COUNTIFS($E$5:$E$65,"1",$L$5:$L$65,"Si")</f>
        <v>3</v>
      </c>
      <c r="AG20" s="39" t="s">
        <v>8</v>
      </c>
      <c r="AH20" s="6">
        <f>COUNTIFS($H$5:$H$65,"1",$L$5:$L$65,"Si")</f>
        <v>3</v>
      </c>
      <c r="AI20" s="6"/>
      <c r="AJ20" s="51"/>
      <c r="AK20" s="50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5.75" thickBot="1" x14ac:dyDescent="0.3">
      <c r="A21" s="3">
        <v>17</v>
      </c>
      <c r="B21" s="29">
        <v>42937</v>
      </c>
      <c r="C21" s="28" t="s">
        <v>30</v>
      </c>
      <c r="D21" s="28"/>
      <c r="E21" s="28"/>
      <c r="F21" s="28"/>
      <c r="G21" s="28"/>
      <c r="H21" s="28"/>
      <c r="I21" s="28">
        <v>1</v>
      </c>
      <c r="J21" s="33" t="s">
        <v>87</v>
      </c>
      <c r="K21" s="6" t="s">
        <v>85</v>
      </c>
      <c r="L21" s="28" t="s">
        <v>20</v>
      </c>
      <c r="M21" s="28" t="s">
        <v>20</v>
      </c>
      <c r="N21" s="28" t="s">
        <v>20</v>
      </c>
      <c r="O21" s="28" t="s">
        <v>25</v>
      </c>
      <c r="P21" s="28" t="s">
        <v>25</v>
      </c>
      <c r="Q21" s="28" t="s">
        <v>27</v>
      </c>
      <c r="R21" s="28" t="s">
        <v>20</v>
      </c>
      <c r="S21" s="28" t="s">
        <v>20</v>
      </c>
      <c r="U21" s="110"/>
      <c r="V21" s="13" t="s">
        <v>29</v>
      </c>
      <c r="W21" s="16">
        <f>+COUNTIF(L5:L65,"Blanco")</f>
        <v>0</v>
      </c>
      <c r="X21" s="127"/>
      <c r="Y21" s="26" t="s">
        <v>29</v>
      </c>
      <c r="Z21" s="52">
        <f>COUNTIFS(C5:$C$65,"Blanco",L5:L65,"Si")</f>
        <v>0</v>
      </c>
      <c r="AA21" s="127"/>
      <c r="AB21" s="26" t="s">
        <v>29</v>
      </c>
      <c r="AC21" s="58">
        <f>COUNTIFS(C5:$C$65,"Blanco",L5:L65,"No")</f>
        <v>0</v>
      </c>
      <c r="AD21" s="127"/>
      <c r="AE21" s="26" t="s">
        <v>6</v>
      </c>
      <c r="AF21" s="26">
        <f>COUNTIFS($F$5:$F$65,"1",$L$5:$L$65,"Si")</f>
        <v>3</v>
      </c>
      <c r="AG21" s="26" t="s">
        <v>9</v>
      </c>
      <c r="AH21" s="26">
        <f>COUNTIFS($I$5:$I$65,"1",$L$5:$L$65,"Si")</f>
        <v>3</v>
      </c>
      <c r="AI21" s="26"/>
      <c r="AJ21" s="52"/>
      <c r="AK21" s="50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x14ac:dyDescent="0.25">
      <c r="A22" s="3">
        <v>18</v>
      </c>
      <c r="B22" s="29">
        <v>42937</v>
      </c>
      <c r="C22" s="28" t="s">
        <v>30</v>
      </c>
      <c r="D22" s="28"/>
      <c r="E22" s="28"/>
      <c r="F22" s="28"/>
      <c r="G22" s="28"/>
      <c r="H22" s="28"/>
      <c r="I22" s="28">
        <v>1</v>
      </c>
      <c r="J22" s="33" t="s">
        <v>87</v>
      </c>
      <c r="K22" s="6" t="s">
        <v>85</v>
      </c>
      <c r="L22" s="28" t="s">
        <v>20</v>
      </c>
      <c r="M22" s="28" t="s">
        <v>20</v>
      </c>
      <c r="N22" s="28" t="s">
        <v>25</v>
      </c>
      <c r="O22" s="28" t="s">
        <v>25</v>
      </c>
      <c r="P22" s="28" t="s">
        <v>25</v>
      </c>
      <c r="Q22" s="28" t="s">
        <v>26</v>
      </c>
      <c r="R22" s="28" t="s">
        <v>20</v>
      </c>
      <c r="S22" s="28" t="s">
        <v>25</v>
      </c>
      <c r="U22" s="137" t="s">
        <v>37</v>
      </c>
      <c r="V22" s="12" t="s">
        <v>20</v>
      </c>
      <c r="W22" s="14">
        <f>+COUNTIF(M5:M65,"Si")</f>
        <v>22</v>
      </c>
      <c r="X22" s="125" t="s">
        <v>118</v>
      </c>
      <c r="Y22" s="48" t="s">
        <v>114</v>
      </c>
      <c r="Z22" s="49">
        <f>COUNTIFS(C5:$C$65,"M",M5:M65,"Si")</f>
        <v>11</v>
      </c>
      <c r="AA22" s="125" t="s">
        <v>117</v>
      </c>
      <c r="AB22" s="48" t="s">
        <v>114</v>
      </c>
      <c r="AC22" s="55">
        <f>COUNTIFS(C5:$C$65,"M",M5:M65,"No")</f>
        <v>5</v>
      </c>
      <c r="AD22" s="132" t="s">
        <v>118</v>
      </c>
      <c r="AE22" s="61" t="s">
        <v>4</v>
      </c>
      <c r="AF22" s="48">
        <f>COUNTIFS($D$5:$D$65,"1",$M$5:$M$65,"Si")</f>
        <v>6</v>
      </c>
      <c r="AG22" s="61" t="s">
        <v>7</v>
      </c>
      <c r="AH22" s="48">
        <f>COUNTIFS($G$5:$G$65,"1",$M$5:$M$65,"Si")</f>
        <v>0</v>
      </c>
      <c r="AI22" s="61" t="s">
        <v>29</v>
      </c>
      <c r="AJ22" s="49">
        <f>COUNTIFS($I$5:$I$65,"Blanco",$M$5:$M$65,"Si")</f>
        <v>0</v>
      </c>
      <c r="AK22" s="50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x14ac:dyDescent="0.25">
      <c r="A23" s="3">
        <v>19</v>
      </c>
      <c r="B23" s="29">
        <v>42937</v>
      </c>
      <c r="C23" s="28" t="s">
        <v>30</v>
      </c>
      <c r="D23" s="28"/>
      <c r="E23" s="28"/>
      <c r="F23" s="28"/>
      <c r="G23" s="28"/>
      <c r="H23" s="28">
        <v>1</v>
      </c>
      <c r="I23" s="28"/>
      <c r="J23" s="33" t="s">
        <v>87</v>
      </c>
      <c r="K23" s="6" t="s">
        <v>85</v>
      </c>
      <c r="L23" s="28" t="s">
        <v>20</v>
      </c>
      <c r="M23" s="28" t="s">
        <v>20</v>
      </c>
      <c r="N23" s="28" t="s">
        <v>25</v>
      </c>
      <c r="O23" s="28" t="s">
        <v>20</v>
      </c>
      <c r="P23" s="28" t="s">
        <v>25</v>
      </c>
      <c r="Q23" s="28" t="s">
        <v>27</v>
      </c>
      <c r="R23" s="28" t="s">
        <v>20</v>
      </c>
      <c r="S23" s="28" t="s">
        <v>20</v>
      </c>
      <c r="U23" s="109"/>
      <c r="V23" s="9" t="s">
        <v>25</v>
      </c>
      <c r="W23" s="15">
        <f>+COUNTIF(M5:M65,"No")</f>
        <v>13</v>
      </c>
      <c r="X23" s="126"/>
      <c r="Y23" s="6" t="s">
        <v>115</v>
      </c>
      <c r="Z23" s="51">
        <f>COUNTIFS(C5:$C$65,"F",M5:M65,"Si")</f>
        <v>11</v>
      </c>
      <c r="AA23" s="126"/>
      <c r="AB23" s="6" t="s">
        <v>115</v>
      </c>
      <c r="AC23" s="57">
        <f>COUNTIFS(C5:$C$65,"F",M5:M65,"No")</f>
        <v>8</v>
      </c>
      <c r="AD23" s="126"/>
      <c r="AE23" s="6" t="s">
        <v>5</v>
      </c>
      <c r="AF23" s="6">
        <f>COUNTIFS($E$5:$E$65,"1",$M$5:$M$65,"Si")</f>
        <v>2</v>
      </c>
      <c r="AG23" s="39" t="s">
        <v>8</v>
      </c>
      <c r="AH23" s="6">
        <f>COUNTIFS($H$5:$H$65,"1",$M$5:$M$65,"Si")</f>
        <v>3</v>
      </c>
      <c r="AI23" s="6"/>
      <c r="AJ23" s="51"/>
      <c r="AK23" s="50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5.75" thickBot="1" x14ac:dyDescent="0.3">
      <c r="A24" s="3">
        <v>20</v>
      </c>
      <c r="B24" s="29">
        <v>42937</v>
      </c>
      <c r="C24" s="28" t="s">
        <v>30</v>
      </c>
      <c r="D24" s="28"/>
      <c r="E24" s="28"/>
      <c r="F24" s="28"/>
      <c r="G24" s="28"/>
      <c r="H24" s="28"/>
      <c r="I24" s="28">
        <v>1</v>
      </c>
      <c r="J24" s="33" t="s">
        <v>87</v>
      </c>
      <c r="K24" s="6" t="s">
        <v>85</v>
      </c>
      <c r="L24" s="28" t="s">
        <v>25</v>
      </c>
      <c r="M24" s="28" t="s">
        <v>20</v>
      </c>
      <c r="N24" s="28" t="s">
        <v>25</v>
      </c>
      <c r="O24" s="28" t="s">
        <v>20</v>
      </c>
      <c r="P24" s="28" t="s">
        <v>20</v>
      </c>
      <c r="Q24" s="28" t="s">
        <v>27</v>
      </c>
      <c r="R24" s="28" t="s">
        <v>20</v>
      </c>
      <c r="S24" s="28" t="s">
        <v>20</v>
      </c>
      <c r="U24" s="110"/>
      <c r="V24" s="13" t="s">
        <v>29</v>
      </c>
      <c r="W24" s="16">
        <f>+COUNTIF(M5:M65,"Blanco")</f>
        <v>0</v>
      </c>
      <c r="X24" s="127"/>
      <c r="Y24" s="26" t="s">
        <v>29</v>
      </c>
      <c r="Z24" s="52">
        <f>COUNTIFS(C5:$C$65,"Blanco",M5:M65,"Si")</f>
        <v>0</v>
      </c>
      <c r="AA24" s="127"/>
      <c r="AB24" s="26" t="s">
        <v>29</v>
      </c>
      <c r="AC24" s="58">
        <f>COUNTIFS(C5:$C$65,"Blanco",M5:M65,"No")</f>
        <v>0</v>
      </c>
      <c r="AD24" s="127"/>
      <c r="AE24" s="26" t="s">
        <v>6</v>
      </c>
      <c r="AF24" s="26">
        <f>COUNTIFS($F$5:$F$65,"1",$M$5:$M$65,"Si")</f>
        <v>2</v>
      </c>
      <c r="AG24" s="26" t="s">
        <v>9</v>
      </c>
      <c r="AH24" s="26">
        <f>COUNTIFS($I$5:$I$65,"1",$M$5:$M$65,"Si")</f>
        <v>9</v>
      </c>
      <c r="AI24" s="26"/>
      <c r="AJ24" s="52"/>
      <c r="AK24" s="50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x14ac:dyDescent="0.25">
      <c r="A25" s="3">
        <v>21</v>
      </c>
      <c r="B25" s="29">
        <v>42937</v>
      </c>
      <c r="C25" s="28" t="s">
        <v>30</v>
      </c>
      <c r="D25" s="28"/>
      <c r="E25" s="28"/>
      <c r="F25" s="28"/>
      <c r="G25" s="28"/>
      <c r="H25" s="28"/>
      <c r="I25" s="28">
        <v>1</v>
      </c>
      <c r="J25" s="33" t="s">
        <v>87</v>
      </c>
      <c r="K25" s="6" t="s">
        <v>85</v>
      </c>
      <c r="L25" s="28" t="s">
        <v>25</v>
      </c>
      <c r="M25" s="28" t="s">
        <v>20</v>
      </c>
      <c r="N25" s="28" t="s">
        <v>25</v>
      </c>
      <c r="O25" s="28" t="s">
        <v>25</v>
      </c>
      <c r="P25" s="28" t="s">
        <v>25</v>
      </c>
      <c r="Q25" s="28" t="s">
        <v>26</v>
      </c>
      <c r="R25" s="28" t="s">
        <v>20</v>
      </c>
      <c r="S25" s="28" t="s">
        <v>20</v>
      </c>
      <c r="U25" s="137" t="s">
        <v>38</v>
      </c>
      <c r="V25" s="12" t="s">
        <v>20</v>
      </c>
      <c r="W25" s="14">
        <f>+COUNTIF(N5:N65,"Si")</f>
        <v>9</v>
      </c>
      <c r="X25" s="125" t="s">
        <v>118</v>
      </c>
      <c r="Y25" s="48" t="s">
        <v>114</v>
      </c>
      <c r="Z25" s="49">
        <f>COUNTIFS($C$5:$C$65,"M",$N$5:$N$65,"Si")</f>
        <v>2</v>
      </c>
      <c r="AA25" s="125" t="s">
        <v>117</v>
      </c>
      <c r="AB25" s="48" t="s">
        <v>114</v>
      </c>
      <c r="AC25" s="55">
        <f>COUNTIFS($C$5:$C$65,"M",$N$5:$N$65,"No")</f>
        <v>14</v>
      </c>
      <c r="AD25" s="125" t="s">
        <v>117</v>
      </c>
      <c r="AE25" s="48" t="s">
        <v>4</v>
      </c>
      <c r="AF25" s="48">
        <f>COUNTIFS($D$5:$D$65,"1",$N$5:$N$65,"No")</f>
        <v>6</v>
      </c>
      <c r="AG25" s="48" t="s">
        <v>7</v>
      </c>
      <c r="AH25" s="48">
        <f>COUNTIFS($G$5:$G$65,"1",$N$5:$N$65,"No")</f>
        <v>1</v>
      </c>
      <c r="AI25" s="48" t="s">
        <v>29</v>
      </c>
      <c r="AJ25" s="49">
        <f>COUNTIFS($I$5:$I$65,"Blanco",$N$5:$N$65,"No")</f>
        <v>0</v>
      </c>
      <c r="AK25" s="50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x14ac:dyDescent="0.25">
      <c r="A26" s="3">
        <v>22</v>
      </c>
      <c r="B26" s="29">
        <v>42937</v>
      </c>
      <c r="C26" s="28" t="s">
        <v>23</v>
      </c>
      <c r="D26" s="28"/>
      <c r="E26" s="28"/>
      <c r="F26" s="28"/>
      <c r="G26" s="28"/>
      <c r="H26" s="28">
        <v>1</v>
      </c>
      <c r="I26" s="28"/>
      <c r="J26" s="33" t="s">
        <v>87</v>
      </c>
      <c r="K26" s="6" t="s">
        <v>85</v>
      </c>
      <c r="L26" s="28" t="s">
        <v>20</v>
      </c>
      <c r="M26" s="28" t="s">
        <v>20</v>
      </c>
      <c r="N26" s="28" t="s">
        <v>20</v>
      </c>
      <c r="O26" s="28" t="s">
        <v>25</v>
      </c>
      <c r="P26" s="28" t="s">
        <v>20</v>
      </c>
      <c r="Q26" s="28" t="s">
        <v>27</v>
      </c>
      <c r="R26" s="28" t="s">
        <v>20</v>
      </c>
      <c r="S26" s="28" t="s">
        <v>20</v>
      </c>
      <c r="U26" s="109"/>
      <c r="V26" s="9" t="s">
        <v>25</v>
      </c>
      <c r="W26" s="15">
        <f>+COUNTIF(N5:N65,"No")</f>
        <v>26</v>
      </c>
      <c r="X26" s="126"/>
      <c r="Y26" s="6" t="s">
        <v>115</v>
      </c>
      <c r="Z26" s="51">
        <f>COUNTIFS($C$5:$C$65,"F",$N$5:$N$65,"Si")</f>
        <v>7</v>
      </c>
      <c r="AA26" s="126"/>
      <c r="AB26" s="6" t="s">
        <v>115</v>
      </c>
      <c r="AC26" s="57">
        <f>COUNTIFS($C$5:$C$65,"F",$N$5:$N$65,"No")</f>
        <v>12</v>
      </c>
      <c r="AD26" s="126"/>
      <c r="AE26" s="6" t="s">
        <v>5</v>
      </c>
      <c r="AF26" s="6">
        <f>COUNTIFS($E$5:$E$65,"1",$N$5:$N$65,"No")</f>
        <v>2</v>
      </c>
      <c r="AG26" s="39" t="s">
        <v>8</v>
      </c>
      <c r="AH26" s="6">
        <f>COUNTIFS($H$5:$H$65,"1",$N$5:$N$65,"No")</f>
        <v>3</v>
      </c>
      <c r="AI26" s="6"/>
      <c r="AJ26" s="51"/>
      <c r="AK26" s="50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5.75" thickBot="1" x14ac:dyDescent="0.3">
      <c r="A27" s="3">
        <v>23</v>
      </c>
      <c r="B27" s="29">
        <v>42937</v>
      </c>
      <c r="C27" s="28" t="s">
        <v>30</v>
      </c>
      <c r="D27" s="28"/>
      <c r="E27" s="28"/>
      <c r="F27" s="28"/>
      <c r="G27" s="28"/>
      <c r="H27" s="28"/>
      <c r="I27" s="28">
        <v>1</v>
      </c>
      <c r="J27" s="33" t="s">
        <v>87</v>
      </c>
      <c r="K27" s="6" t="s">
        <v>85</v>
      </c>
      <c r="L27" s="28" t="s">
        <v>25</v>
      </c>
      <c r="M27" s="28" t="s">
        <v>20</v>
      </c>
      <c r="N27" s="28" t="s">
        <v>25</v>
      </c>
      <c r="O27" s="28" t="s">
        <v>25</v>
      </c>
      <c r="P27" s="28" t="s">
        <v>25</v>
      </c>
      <c r="Q27" s="28" t="s">
        <v>27</v>
      </c>
      <c r="R27" s="28" t="s">
        <v>20</v>
      </c>
      <c r="S27" s="28" t="s">
        <v>25</v>
      </c>
      <c r="U27" s="110"/>
      <c r="V27" s="13" t="s">
        <v>29</v>
      </c>
      <c r="W27" s="16">
        <f>+COUNTIF(N5:N65,"Blanco")</f>
        <v>0</v>
      </c>
      <c r="X27" s="127"/>
      <c r="Y27" s="26" t="s">
        <v>29</v>
      </c>
      <c r="Z27" s="52">
        <f>COUNTIFS($C$5:$C$65,"Blanco",$N$5:N65,"Si")</f>
        <v>0</v>
      </c>
      <c r="AA27" s="127"/>
      <c r="AB27" s="26" t="s">
        <v>29</v>
      </c>
      <c r="AC27" s="58">
        <f>COUNTIFS($C$5:$C$65,"Blanco",$N$5:N65,"No")</f>
        <v>0</v>
      </c>
      <c r="AD27" s="127"/>
      <c r="AE27" s="26" t="s">
        <v>6</v>
      </c>
      <c r="AF27" s="26">
        <f>COUNTIFS($F$5:$F$65,"1",$N$5:$N$65,"No")</f>
        <v>2</v>
      </c>
      <c r="AG27" s="26" t="s">
        <v>9</v>
      </c>
      <c r="AH27" s="26">
        <f>COUNTIFS($I$5:$I$65,"1",$N$5:$N$65,"No")</f>
        <v>12</v>
      </c>
      <c r="AI27" s="26"/>
      <c r="AJ27" s="52"/>
      <c r="AK27" s="50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x14ac:dyDescent="0.25">
      <c r="A28" s="3">
        <v>24</v>
      </c>
      <c r="B28" s="29">
        <v>42937</v>
      </c>
      <c r="C28" s="28" t="s">
        <v>23</v>
      </c>
      <c r="D28" s="28">
        <v>1</v>
      </c>
      <c r="E28" s="28"/>
      <c r="F28" s="28"/>
      <c r="G28" s="28"/>
      <c r="H28" s="28"/>
      <c r="I28" s="28"/>
      <c r="J28" s="33" t="s">
        <v>87</v>
      </c>
      <c r="K28" s="6" t="s">
        <v>85</v>
      </c>
      <c r="L28" s="28" t="s">
        <v>20</v>
      </c>
      <c r="M28" s="28" t="s">
        <v>20</v>
      </c>
      <c r="N28" s="28" t="s">
        <v>25</v>
      </c>
      <c r="O28" s="28" t="s">
        <v>25</v>
      </c>
      <c r="P28" s="28" t="s">
        <v>25</v>
      </c>
      <c r="Q28" s="28" t="s">
        <v>26</v>
      </c>
      <c r="R28" s="28" t="s">
        <v>25</v>
      </c>
      <c r="S28" s="28" t="s">
        <v>25</v>
      </c>
      <c r="U28" s="137" t="s">
        <v>39</v>
      </c>
      <c r="V28" s="12" t="s">
        <v>20</v>
      </c>
      <c r="W28" s="14">
        <f>+COUNTIF(O5:O65,"Si")</f>
        <v>5</v>
      </c>
      <c r="X28" s="125" t="s">
        <v>118</v>
      </c>
      <c r="Y28" s="48" t="s">
        <v>114</v>
      </c>
      <c r="Z28" s="49">
        <f>COUNTIFS($C$5:$C$65,"M",$O$5:O65,"Si")</f>
        <v>3</v>
      </c>
      <c r="AA28" s="128" t="s">
        <v>117</v>
      </c>
      <c r="AB28" s="19" t="s">
        <v>114</v>
      </c>
      <c r="AC28" s="65">
        <f>COUNTIFS($C$5:$C$65,"M",$O$5:O65,"No")</f>
        <v>13</v>
      </c>
      <c r="AD28" s="128" t="s">
        <v>117</v>
      </c>
      <c r="AE28" s="19" t="s">
        <v>4</v>
      </c>
      <c r="AF28" s="19">
        <f>COUNTIFS($D$5:$D$65,"1",$O$5:$O$65,"No")</f>
        <v>8</v>
      </c>
      <c r="AG28" s="19" t="s">
        <v>7</v>
      </c>
      <c r="AH28" s="19">
        <f>COUNTIFS($G$5:$G$65,"1",$O$5:$O$65,"No")</f>
        <v>1</v>
      </c>
      <c r="AI28" s="19" t="s">
        <v>29</v>
      </c>
      <c r="AJ28" s="66">
        <f>COUNTIFS($I$5:$I$65,"Blanco",$O$5:$O$65,"No")</f>
        <v>0</v>
      </c>
      <c r="AK28" s="50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x14ac:dyDescent="0.25">
      <c r="A29" s="3">
        <v>25</v>
      </c>
      <c r="B29" s="29">
        <v>42937</v>
      </c>
      <c r="C29" s="28" t="s">
        <v>23</v>
      </c>
      <c r="D29" s="28"/>
      <c r="E29" s="28"/>
      <c r="F29" s="28">
        <v>1</v>
      </c>
      <c r="G29" s="28"/>
      <c r="H29" s="28"/>
      <c r="I29" s="28"/>
      <c r="J29" s="33" t="s">
        <v>87</v>
      </c>
      <c r="K29" s="6" t="s">
        <v>85</v>
      </c>
      <c r="L29" s="28" t="s">
        <v>20</v>
      </c>
      <c r="M29" s="28" t="s">
        <v>20</v>
      </c>
      <c r="N29" s="28" t="s">
        <v>20</v>
      </c>
      <c r="O29" s="28" t="s">
        <v>25</v>
      </c>
      <c r="P29" s="28" t="s">
        <v>25</v>
      </c>
      <c r="Q29" s="28" t="s">
        <v>27</v>
      </c>
      <c r="R29" s="28" t="s">
        <v>20</v>
      </c>
      <c r="S29" s="28" t="s">
        <v>20</v>
      </c>
      <c r="U29" s="109"/>
      <c r="V29" s="9" t="s">
        <v>25</v>
      </c>
      <c r="W29" s="15">
        <f>+COUNTIF(O5:O65,"No")</f>
        <v>30</v>
      </c>
      <c r="X29" s="126"/>
      <c r="Y29" s="6" t="s">
        <v>115</v>
      </c>
      <c r="Z29" s="51">
        <f>COUNTIFS(C5:$C$65,"F",O5:O65,"Si")</f>
        <v>2</v>
      </c>
      <c r="AA29" s="129"/>
      <c r="AB29" s="35" t="s">
        <v>115</v>
      </c>
      <c r="AC29" s="67">
        <f>COUNTIFS(C5:$C$65,"F",O5:O65,"No")</f>
        <v>17</v>
      </c>
      <c r="AD29" s="129"/>
      <c r="AE29" s="35" t="s">
        <v>5</v>
      </c>
      <c r="AF29" s="35">
        <f>COUNTIFS($E$5:$E$65,"1",$O$5:$O$65,"No")</f>
        <v>3</v>
      </c>
      <c r="AG29" s="9" t="s">
        <v>8</v>
      </c>
      <c r="AH29" s="35">
        <f>COUNTIFS($H$5:$H$65,"1",$O$5:$O$65,"No")</f>
        <v>3</v>
      </c>
      <c r="AI29" s="35"/>
      <c r="AJ29" s="68"/>
      <c r="AK29" s="50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5.75" thickBot="1" x14ac:dyDescent="0.3">
      <c r="A30" s="3">
        <v>26</v>
      </c>
      <c r="B30" s="29">
        <v>42940</v>
      </c>
      <c r="C30" s="28" t="s">
        <v>30</v>
      </c>
      <c r="D30" s="28"/>
      <c r="E30" s="28"/>
      <c r="F30" s="28"/>
      <c r="G30" s="28"/>
      <c r="H30" s="28"/>
      <c r="I30" s="28">
        <v>1</v>
      </c>
      <c r="J30" s="33" t="s">
        <v>87</v>
      </c>
      <c r="K30" s="28" t="s">
        <v>86</v>
      </c>
      <c r="L30" s="28" t="s">
        <v>25</v>
      </c>
      <c r="M30" s="28" t="s">
        <v>20</v>
      </c>
      <c r="N30" s="28" t="s">
        <v>20</v>
      </c>
      <c r="O30" s="28" t="s">
        <v>25</v>
      </c>
      <c r="P30" s="28" t="s">
        <v>20</v>
      </c>
      <c r="Q30" s="28" t="s">
        <v>27</v>
      </c>
      <c r="R30" s="28" t="s">
        <v>20</v>
      </c>
      <c r="S30" s="28" t="s">
        <v>20</v>
      </c>
      <c r="U30" s="110"/>
      <c r="V30" s="13" t="s">
        <v>29</v>
      </c>
      <c r="W30" s="16">
        <f>+COUNTIF(O5:O65,"Blanco")</f>
        <v>0</v>
      </c>
      <c r="X30" s="127"/>
      <c r="Y30" s="26" t="s">
        <v>29</v>
      </c>
      <c r="Z30" s="52">
        <f>COUNTIFS(C5:$C$65,"Blanco",O5:O65,"Si")</f>
        <v>0</v>
      </c>
      <c r="AA30" s="130"/>
      <c r="AB30" s="27" t="s">
        <v>29</v>
      </c>
      <c r="AC30" s="69">
        <f>COUNTIFS(C5:$C$65,"Blanco",O5:O65,"No")</f>
        <v>0</v>
      </c>
      <c r="AD30" s="130"/>
      <c r="AE30" s="27" t="s">
        <v>6</v>
      </c>
      <c r="AF30" s="27">
        <f>COUNTIFS($F$5:$F$65,"1",$O$5:$O$65,"No")</f>
        <v>3</v>
      </c>
      <c r="AG30" s="27" t="s">
        <v>9</v>
      </c>
      <c r="AH30" s="27">
        <f>COUNTIFS($I$5:$I$65,"1",$O$5:$O$65,"No")</f>
        <v>12</v>
      </c>
      <c r="AI30" s="27"/>
      <c r="AJ30" s="70"/>
      <c r="AK30" s="50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x14ac:dyDescent="0.25">
      <c r="A31" s="3">
        <v>27</v>
      </c>
      <c r="B31" s="29">
        <v>42940</v>
      </c>
      <c r="C31" s="28" t="s">
        <v>30</v>
      </c>
      <c r="D31" s="28"/>
      <c r="E31" s="28"/>
      <c r="F31" s="28"/>
      <c r="G31" s="28">
        <v>1</v>
      </c>
      <c r="H31" s="28"/>
      <c r="I31" s="28"/>
      <c r="J31" s="33" t="s">
        <v>87</v>
      </c>
      <c r="K31" s="28" t="s">
        <v>86</v>
      </c>
      <c r="L31" s="28" t="s">
        <v>25</v>
      </c>
      <c r="M31" s="28" t="s">
        <v>25</v>
      </c>
      <c r="N31" s="28" t="s">
        <v>25</v>
      </c>
      <c r="O31" s="28" t="s">
        <v>25</v>
      </c>
      <c r="P31" s="28" t="s">
        <v>25</v>
      </c>
      <c r="Q31" s="28" t="s">
        <v>27</v>
      </c>
      <c r="R31" s="28" t="s">
        <v>25</v>
      </c>
      <c r="S31" s="28" t="s">
        <v>20</v>
      </c>
      <c r="U31" s="137" t="s">
        <v>40</v>
      </c>
      <c r="V31" s="12" t="s">
        <v>20</v>
      </c>
      <c r="W31" s="14">
        <f>+COUNTIF(P5:P65,"Si")</f>
        <v>5</v>
      </c>
      <c r="X31" s="125" t="s">
        <v>118</v>
      </c>
      <c r="Y31" s="48" t="s">
        <v>114</v>
      </c>
      <c r="Z31" s="49">
        <f>COUNTIFS(C5:$C$65,"M",P5:P65,"Si")</f>
        <v>3</v>
      </c>
      <c r="AA31" s="128" t="s">
        <v>117</v>
      </c>
      <c r="AB31" s="19" t="s">
        <v>114</v>
      </c>
      <c r="AC31" s="65">
        <f>COUNTIFS(C5:$C$65,"M",P5:P65,"No")</f>
        <v>13</v>
      </c>
      <c r="AD31" s="128" t="s">
        <v>117</v>
      </c>
      <c r="AE31" s="19" t="s">
        <v>4</v>
      </c>
      <c r="AF31" s="19">
        <f>COUNTIFS($D$5:$D$65,"1",$P$5:$P$65,"No")</f>
        <v>8</v>
      </c>
      <c r="AG31" s="19" t="s">
        <v>7</v>
      </c>
      <c r="AH31" s="19">
        <f>COUNTIFS($G$5:$G$65,"1",$P$5:$P$65,"No")</f>
        <v>1</v>
      </c>
      <c r="AI31" s="19" t="s">
        <v>29</v>
      </c>
      <c r="AJ31" s="66">
        <f>COUNTIFS($I$5:$I$65,"Blanco",$P$5:$P$65,"No")</f>
        <v>0</v>
      </c>
      <c r="AK31" s="50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x14ac:dyDescent="0.25">
      <c r="A32" s="3">
        <v>28</v>
      </c>
      <c r="B32" s="29">
        <v>42940</v>
      </c>
      <c r="C32" s="28" t="s">
        <v>30</v>
      </c>
      <c r="D32" s="28"/>
      <c r="E32" s="28"/>
      <c r="F32" s="28"/>
      <c r="G32" s="28"/>
      <c r="H32" s="28"/>
      <c r="I32" s="28">
        <v>1</v>
      </c>
      <c r="J32" s="33" t="s">
        <v>87</v>
      </c>
      <c r="K32" s="28" t="s">
        <v>86</v>
      </c>
      <c r="L32" s="28" t="s">
        <v>25</v>
      </c>
      <c r="M32" s="28" t="s">
        <v>20</v>
      </c>
      <c r="N32" s="28" t="s">
        <v>25</v>
      </c>
      <c r="O32" s="28" t="s">
        <v>20</v>
      </c>
      <c r="P32" s="28" t="s">
        <v>20</v>
      </c>
      <c r="Q32" s="28" t="s">
        <v>27</v>
      </c>
      <c r="R32" s="28" t="s">
        <v>20</v>
      </c>
      <c r="S32" s="28" t="s">
        <v>20</v>
      </c>
      <c r="U32" s="109"/>
      <c r="V32" s="9" t="s">
        <v>25</v>
      </c>
      <c r="W32" s="15">
        <f>+COUNTIF(P5:P65,"No")</f>
        <v>30</v>
      </c>
      <c r="X32" s="126"/>
      <c r="Y32" s="6" t="s">
        <v>115</v>
      </c>
      <c r="Z32" s="51">
        <f>COUNTIFS(C5:$C$65,"F",P5:P65,"Si")</f>
        <v>2</v>
      </c>
      <c r="AA32" s="129"/>
      <c r="AB32" s="35" t="s">
        <v>115</v>
      </c>
      <c r="AC32" s="67">
        <f>COUNTIFS(C5:$C$65,"F",P5:P65,"NO")</f>
        <v>17</v>
      </c>
      <c r="AD32" s="129"/>
      <c r="AE32" s="35" t="s">
        <v>5</v>
      </c>
      <c r="AF32" s="35">
        <f>COUNTIFS($E$5:$E$65,"1",$P$5:$P$65,"No")</f>
        <v>4</v>
      </c>
      <c r="AG32" s="9" t="s">
        <v>8</v>
      </c>
      <c r="AH32" s="35">
        <f>COUNTIFS($H$5:$H$65,"1",$P$5:$P$65,"No")</f>
        <v>3</v>
      </c>
      <c r="AI32" s="35"/>
      <c r="AJ32" s="68"/>
      <c r="AK32" s="50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5.75" thickBot="1" x14ac:dyDescent="0.3">
      <c r="A33" s="3">
        <v>29</v>
      </c>
      <c r="B33" s="29">
        <v>42940</v>
      </c>
      <c r="C33" s="28" t="s">
        <v>23</v>
      </c>
      <c r="D33" s="28"/>
      <c r="E33" s="28"/>
      <c r="F33" s="28"/>
      <c r="G33" s="28"/>
      <c r="H33" s="28"/>
      <c r="I33" s="28">
        <v>1</v>
      </c>
      <c r="J33" s="33" t="s">
        <v>87</v>
      </c>
      <c r="K33" s="28" t="s">
        <v>86</v>
      </c>
      <c r="L33" s="28" t="s">
        <v>25</v>
      </c>
      <c r="M33" s="28" t="s">
        <v>25</v>
      </c>
      <c r="N33" s="28" t="s">
        <v>25</v>
      </c>
      <c r="O33" s="28" t="s">
        <v>25</v>
      </c>
      <c r="P33" s="28" t="s">
        <v>25</v>
      </c>
      <c r="Q33" s="28" t="s">
        <v>26</v>
      </c>
      <c r="R33" s="28" t="s">
        <v>25</v>
      </c>
      <c r="S33" s="28" t="s">
        <v>25</v>
      </c>
      <c r="U33" s="110"/>
      <c r="V33" s="13" t="s">
        <v>29</v>
      </c>
      <c r="W33" s="16">
        <f>+COUNTIF(P5:P65,"Blanco")</f>
        <v>0</v>
      </c>
      <c r="X33" s="154"/>
      <c r="Y33" s="34" t="s">
        <v>29</v>
      </c>
      <c r="Z33" s="53">
        <f>COUNTIFS(C5:$C$65,"Blanco",P4:P64,"Si")</f>
        <v>0</v>
      </c>
      <c r="AA33" s="153"/>
      <c r="AB33" s="71" t="s">
        <v>29</v>
      </c>
      <c r="AC33" s="72">
        <f>COUNTIFS(C5:$C$65,"Blanco",P5:P65,"No")</f>
        <v>0</v>
      </c>
      <c r="AD33" s="130"/>
      <c r="AE33" s="27" t="s">
        <v>6</v>
      </c>
      <c r="AF33" s="27">
        <f>COUNTIFS($F$5:$F$65,"1",$P$5:$P$65,"No")</f>
        <v>3</v>
      </c>
      <c r="AG33" s="71" t="s">
        <v>9</v>
      </c>
      <c r="AH33" s="71">
        <f>COUNTIFS($I$5:$I$65,"1",$P$5:$P$65,"No")</f>
        <v>11</v>
      </c>
      <c r="AI33" s="71"/>
      <c r="AJ33" s="73"/>
      <c r="AK33" s="5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</row>
    <row r="34" spans="1:50" x14ac:dyDescent="0.25">
      <c r="A34" s="3">
        <v>30</v>
      </c>
      <c r="B34" s="29">
        <v>42940</v>
      </c>
      <c r="C34" s="28" t="s">
        <v>23</v>
      </c>
      <c r="D34" s="28">
        <v>1</v>
      </c>
      <c r="E34" s="28"/>
      <c r="F34" s="28"/>
      <c r="G34" s="28"/>
      <c r="H34" s="28"/>
      <c r="I34" s="28"/>
      <c r="J34" s="33" t="s">
        <v>87</v>
      </c>
      <c r="K34" s="28" t="s">
        <v>86</v>
      </c>
      <c r="L34" s="28" t="s">
        <v>25</v>
      </c>
      <c r="M34" s="28" t="s">
        <v>20</v>
      </c>
      <c r="N34" s="28" t="s">
        <v>25</v>
      </c>
      <c r="O34" s="28" t="s">
        <v>25</v>
      </c>
      <c r="P34" s="28" t="s">
        <v>25</v>
      </c>
      <c r="Q34" s="28" t="s">
        <v>27</v>
      </c>
      <c r="R34" s="28" t="s">
        <v>20</v>
      </c>
      <c r="S34" s="28" t="s">
        <v>20</v>
      </c>
      <c r="U34" s="137" t="s">
        <v>41</v>
      </c>
      <c r="V34" s="12" t="s">
        <v>27</v>
      </c>
      <c r="W34" s="14">
        <f>+COUNTIF(Q5:Q65,"Elevada")</f>
        <v>20</v>
      </c>
      <c r="X34" s="125" t="s">
        <v>116</v>
      </c>
      <c r="Y34" s="48" t="s">
        <v>114</v>
      </c>
      <c r="Z34" s="49">
        <f>COUNTIFS(C5:$C$65,"M",Q5:Q65,"Elevada")</f>
        <v>11</v>
      </c>
      <c r="AA34" s="125" t="s">
        <v>119</v>
      </c>
      <c r="AB34" s="48" t="s">
        <v>114</v>
      </c>
      <c r="AC34" s="49">
        <f>COUNTIFS(C5:$C$65,"M",Q5:Q65,"Alguna")</f>
        <v>1</v>
      </c>
      <c r="AD34" s="125" t="s">
        <v>120</v>
      </c>
      <c r="AE34" s="48" t="s">
        <v>114</v>
      </c>
      <c r="AF34" s="49">
        <f>COUNTIFS(C5:$C$65,"M",Q5:Q65,"Poca")</f>
        <v>4</v>
      </c>
      <c r="AG34" s="125" t="s">
        <v>121</v>
      </c>
      <c r="AH34" s="48" t="s">
        <v>114</v>
      </c>
      <c r="AI34" s="55">
        <f>COUNTIFS(C5:$C$65,"M",Q5:Q65,"ninguna")</f>
        <v>0</v>
      </c>
      <c r="AJ34" s="55"/>
      <c r="AK34" s="125" t="s">
        <v>122</v>
      </c>
      <c r="AL34" s="56" t="s">
        <v>4</v>
      </c>
      <c r="AM34" s="48">
        <f>COUNTIFS(D5:$D$65,"1",$Q$5:$Q$65,"Elevada")</f>
        <v>3</v>
      </c>
      <c r="AN34" s="48" t="s">
        <v>7</v>
      </c>
      <c r="AO34" s="48">
        <f>COUNTIFS(G5:$G$65,"1",$Q$5:$Q$65,"Elevada")</f>
        <v>1</v>
      </c>
      <c r="AP34" s="48" t="s">
        <v>29</v>
      </c>
      <c r="AQ34" s="49">
        <f>COUNTIFS(I5:$I$65,"Blanco",$Q$5:$Q$65,"Elevada")</f>
        <v>0</v>
      </c>
      <c r="AR34" s="125" t="s">
        <v>119</v>
      </c>
      <c r="AS34" s="48" t="s">
        <v>4</v>
      </c>
      <c r="AT34" s="48">
        <f>COUNTIFS(D5:$D$65,"1",$Q$5:$Q$65,"Alguna")</f>
        <v>0</v>
      </c>
      <c r="AU34" s="48" t="s">
        <v>7</v>
      </c>
      <c r="AV34" s="48">
        <f>COUNTIFS(G5:$G$65,"1",$Q$5:$Q$65,"Alguna")</f>
        <v>0</v>
      </c>
      <c r="AW34" s="48" t="s">
        <v>29</v>
      </c>
      <c r="AX34" s="49">
        <f>COUNTIFS(I5:$I$65,"Blanco",$Q$5:$Q$65,"Alguna")</f>
        <v>0</v>
      </c>
    </row>
    <row r="35" spans="1:50" x14ac:dyDescent="0.25">
      <c r="A35" s="3">
        <v>31</v>
      </c>
      <c r="B35" s="29">
        <v>42940</v>
      </c>
      <c r="C35" s="28" t="s">
        <v>23</v>
      </c>
      <c r="D35" s="28"/>
      <c r="E35" s="28"/>
      <c r="F35" s="28"/>
      <c r="G35" s="28"/>
      <c r="H35" s="28"/>
      <c r="I35" s="28">
        <v>1</v>
      </c>
      <c r="J35" s="33" t="s">
        <v>87</v>
      </c>
      <c r="K35" s="28" t="s">
        <v>86</v>
      </c>
      <c r="L35" s="28" t="s">
        <v>25</v>
      </c>
      <c r="M35" s="28" t="s">
        <v>25</v>
      </c>
      <c r="N35" s="28" t="s">
        <v>25</v>
      </c>
      <c r="O35" s="28" t="s">
        <v>25</v>
      </c>
      <c r="P35" s="28" t="s">
        <v>25</v>
      </c>
      <c r="Q35" s="28" t="s">
        <v>26</v>
      </c>
      <c r="R35" s="28" t="s">
        <v>20</v>
      </c>
      <c r="S35" s="28" t="s">
        <v>20</v>
      </c>
      <c r="U35" s="109"/>
      <c r="V35" s="9" t="s">
        <v>28</v>
      </c>
      <c r="W35" s="15">
        <f>+COUNTIF(Q5:Q65,"Alguna")</f>
        <v>1</v>
      </c>
      <c r="X35" s="126"/>
      <c r="Y35" s="6" t="s">
        <v>115</v>
      </c>
      <c r="Z35" s="51">
        <f>COUNTIFS(C5:$C$65,"F",Q5:Q65,"Elevada")</f>
        <v>9</v>
      </c>
      <c r="AA35" s="126"/>
      <c r="AB35" s="6" t="s">
        <v>115</v>
      </c>
      <c r="AC35" s="51">
        <f>COUNTIFS(C5:$C$65,"F",Q5:Q65,"Alguna")</f>
        <v>0</v>
      </c>
      <c r="AD35" s="126"/>
      <c r="AE35" s="6" t="s">
        <v>115</v>
      </c>
      <c r="AF35" s="51">
        <f>COUNTIFS(C5:$C$65,"F",Q5:Q65,"Poca")</f>
        <v>8</v>
      </c>
      <c r="AG35" s="126"/>
      <c r="AH35" s="6" t="s">
        <v>115</v>
      </c>
      <c r="AI35" s="57">
        <f>COUNTIFS(C5:$C$65,"F",Q5:Q65,"Ninguna")</f>
        <v>2</v>
      </c>
      <c r="AJ35" s="57"/>
      <c r="AK35" s="126"/>
      <c r="AL35" s="50" t="s">
        <v>5</v>
      </c>
      <c r="AM35" s="6">
        <f>COUNTIFS(E5:$E$65,"1",$Q$5:$Q$65,"Elevada")</f>
        <v>3</v>
      </c>
      <c r="AN35" s="39" t="s">
        <v>8</v>
      </c>
      <c r="AO35" s="6">
        <f>COUNTIFS(H5:$H$65,"1",$Q$5:$Q$65,"Elevada")</f>
        <v>2</v>
      </c>
      <c r="AP35" s="6"/>
      <c r="AQ35" s="51"/>
      <c r="AR35" s="126"/>
      <c r="AS35" s="6" t="s">
        <v>5</v>
      </c>
      <c r="AT35" s="6">
        <f>COUNTIFS(E5:$E$65,"1",$Q$5:$Q$65,"Alguna")</f>
        <v>0</v>
      </c>
      <c r="AU35" s="39" t="s">
        <v>8</v>
      </c>
      <c r="AV35" s="6">
        <f>COUNTIFS(H5:$H$65,"1",$Q$5:$Q$65,"Alguna")</f>
        <v>0</v>
      </c>
      <c r="AW35" s="6"/>
      <c r="AX35" s="51"/>
    </row>
    <row r="36" spans="1:50" ht="15.75" thickBot="1" x14ac:dyDescent="0.3">
      <c r="A36" s="3">
        <v>32</v>
      </c>
      <c r="B36" s="29">
        <v>42940</v>
      </c>
      <c r="C36" s="28" t="s">
        <v>23</v>
      </c>
      <c r="D36" s="28">
        <v>1</v>
      </c>
      <c r="E36" s="28"/>
      <c r="F36" s="28"/>
      <c r="G36" s="28"/>
      <c r="H36" s="28"/>
      <c r="I36" s="28"/>
      <c r="J36" s="33" t="s">
        <v>87</v>
      </c>
      <c r="K36" s="28" t="s">
        <v>86</v>
      </c>
      <c r="L36" s="28" t="s">
        <v>25</v>
      </c>
      <c r="M36" s="28" t="s">
        <v>20</v>
      </c>
      <c r="N36" s="28" t="s">
        <v>20</v>
      </c>
      <c r="O36" s="28" t="s">
        <v>25</v>
      </c>
      <c r="P36" s="28" t="s">
        <v>25</v>
      </c>
      <c r="Q36" s="28" t="s">
        <v>26</v>
      </c>
      <c r="R36" s="28" t="s">
        <v>20</v>
      </c>
      <c r="S36" s="28" t="s">
        <v>25</v>
      </c>
      <c r="U36" s="109"/>
      <c r="V36" s="9" t="s">
        <v>26</v>
      </c>
      <c r="W36" s="15">
        <f>+COUNTIF(Q5:Q65,"Poca")</f>
        <v>12</v>
      </c>
      <c r="X36" s="127"/>
      <c r="Y36" s="26" t="s">
        <v>29</v>
      </c>
      <c r="Z36" s="52">
        <f>COUNTIFS(C5:$C$65,"Blanco",Q5:Q65,"Elevada")</f>
        <v>0</v>
      </c>
      <c r="AA36" s="127"/>
      <c r="AB36" s="26" t="s">
        <v>29</v>
      </c>
      <c r="AC36" s="52">
        <f>COUNTIFS(C5:$C$65,"Blanco",Q5:Q65,"Alguna")</f>
        <v>0</v>
      </c>
      <c r="AD36" s="127"/>
      <c r="AE36" s="26" t="s">
        <v>29</v>
      </c>
      <c r="AF36" s="52">
        <f>COUNTIFS(C5:$C$65,"Blanco",Q5:Q65,"Poca")</f>
        <v>0</v>
      </c>
      <c r="AG36" s="127"/>
      <c r="AH36" s="26" t="s">
        <v>29</v>
      </c>
      <c r="AI36" s="58">
        <f>COUNTIFS(C5:$C$65,"Blanco",Q5:Q65,"Ninguna")</f>
        <v>0</v>
      </c>
      <c r="AJ36" s="58"/>
      <c r="AK36" s="127"/>
      <c r="AL36" s="59" t="s">
        <v>6</v>
      </c>
      <c r="AM36" s="26">
        <f>COUNTIFS(F5:$F$65,"1",$Q$5:$Q$65,"Elevada")</f>
        <v>2</v>
      </c>
      <c r="AN36" s="26" t="s">
        <v>9</v>
      </c>
      <c r="AO36" s="26">
        <f>COUNTIFS(I5:$I$65,"1",$Q$5:$Q$65,"Elevada")</f>
        <v>9</v>
      </c>
      <c r="AP36" s="26"/>
      <c r="AQ36" s="52"/>
      <c r="AR36" s="127"/>
      <c r="AS36" s="26" t="s">
        <v>6</v>
      </c>
      <c r="AT36" s="26">
        <f>COUNTIFS(F5:$F$65,"1",$Q$5:$Q$65,"Alguna")</f>
        <v>1</v>
      </c>
      <c r="AU36" s="26" t="s">
        <v>9</v>
      </c>
      <c r="AV36" s="26">
        <f>COUNTIFS(I5:$I$65,"1",$Q$5:$Q$65,"Alguna")</f>
        <v>0</v>
      </c>
      <c r="AW36" s="26"/>
      <c r="AX36" s="52"/>
    </row>
    <row r="37" spans="1:50" ht="15.75" thickBot="1" x14ac:dyDescent="0.3">
      <c r="A37" s="3">
        <v>33</v>
      </c>
      <c r="B37" s="29">
        <v>42940</v>
      </c>
      <c r="C37" s="28" t="s">
        <v>23</v>
      </c>
      <c r="D37" s="28"/>
      <c r="E37" s="28"/>
      <c r="F37" s="28"/>
      <c r="G37" s="28"/>
      <c r="H37" s="28"/>
      <c r="I37" s="28">
        <v>1</v>
      </c>
      <c r="J37" s="33" t="s">
        <v>87</v>
      </c>
      <c r="K37" s="28" t="s">
        <v>86</v>
      </c>
      <c r="L37" s="28" t="s">
        <v>25</v>
      </c>
      <c r="M37" s="28" t="s">
        <v>25</v>
      </c>
      <c r="N37" s="28" t="s">
        <v>25</v>
      </c>
      <c r="O37" s="28" t="s">
        <v>25</v>
      </c>
      <c r="P37" s="28" t="s">
        <v>25</v>
      </c>
      <c r="Q37" s="28" t="s">
        <v>34</v>
      </c>
      <c r="R37" s="28" t="s">
        <v>25</v>
      </c>
      <c r="S37" s="28" t="s">
        <v>25</v>
      </c>
      <c r="U37" s="110"/>
      <c r="V37" s="13" t="s">
        <v>34</v>
      </c>
      <c r="W37" s="16">
        <f>+COUNTIF(Q5:Q65,"Ninguna")</f>
        <v>2</v>
      </c>
      <c r="X37" s="47"/>
      <c r="Y37" s="60"/>
      <c r="Z37" s="62"/>
      <c r="AA37" s="63"/>
      <c r="AB37" s="60"/>
      <c r="AC37" s="64"/>
      <c r="AD37" s="60"/>
      <c r="AE37" s="60"/>
      <c r="AF37" s="60"/>
      <c r="AG37" s="60"/>
      <c r="AH37" s="60"/>
      <c r="AI37" s="60"/>
      <c r="AJ37" s="60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</row>
    <row r="38" spans="1:50" x14ac:dyDescent="0.25">
      <c r="A38" s="3">
        <v>34</v>
      </c>
      <c r="B38" s="29">
        <v>42940</v>
      </c>
      <c r="C38" s="28" t="s">
        <v>23</v>
      </c>
      <c r="D38" s="28"/>
      <c r="E38" s="28"/>
      <c r="F38" s="28"/>
      <c r="G38" s="28"/>
      <c r="H38" s="28"/>
      <c r="I38" s="28">
        <v>1</v>
      </c>
      <c r="J38" s="33" t="s">
        <v>87</v>
      </c>
      <c r="K38" s="28" t="s">
        <v>86</v>
      </c>
      <c r="L38" s="28" t="s">
        <v>25</v>
      </c>
      <c r="M38" s="28" t="s">
        <v>20</v>
      </c>
      <c r="N38" s="28" t="s">
        <v>25</v>
      </c>
      <c r="O38" s="28" t="s">
        <v>25</v>
      </c>
      <c r="P38" s="28" t="s">
        <v>25</v>
      </c>
      <c r="Q38" s="28" t="s">
        <v>27</v>
      </c>
      <c r="R38" s="28" t="s">
        <v>20</v>
      </c>
      <c r="S38" s="28" t="s">
        <v>25</v>
      </c>
      <c r="U38" s="137" t="s">
        <v>42</v>
      </c>
      <c r="V38" s="12" t="s">
        <v>20</v>
      </c>
      <c r="W38" s="14">
        <f>+COUNTIF(R5:R65,"Si")</f>
        <v>19</v>
      </c>
      <c r="X38" s="125" t="s">
        <v>118</v>
      </c>
      <c r="Y38" s="48" t="s">
        <v>114</v>
      </c>
      <c r="Z38" s="49">
        <f>COUNTIFS(C5:$C$65,"M",R5:R65,"Si")</f>
        <v>11</v>
      </c>
      <c r="AA38" s="125" t="s">
        <v>117</v>
      </c>
      <c r="AB38" s="48" t="s">
        <v>114</v>
      </c>
      <c r="AC38" s="55">
        <f>COUNTIFS(C5:$C$65,"M",R5:R65,"No")</f>
        <v>5</v>
      </c>
      <c r="AD38" s="125" t="s">
        <v>118</v>
      </c>
      <c r="AE38" s="48" t="s">
        <v>4</v>
      </c>
      <c r="AF38" s="48">
        <f>COUNTIFS($D$5:$D$65,"1",$R$5:$R$65,"Si")</f>
        <v>3</v>
      </c>
      <c r="AG38" s="48" t="s">
        <v>7</v>
      </c>
      <c r="AH38" s="48">
        <f>COUNTIFS($G$5:$G$65,"1",$R$5:$R$65,"Si")</f>
        <v>0</v>
      </c>
      <c r="AI38" s="48" t="s">
        <v>29</v>
      </c>
      <c r="AJ38" s="49">
        <f>COUNTIFS($I$5:$I$65,"Blanco",$R$5:$R$65,"Si")</f>
        <v>0</v>
      </c>
      <c r="AK38" s="50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x14ac:dyDescent="0.25">
      <c r="A39" s="3">
        <v>35</v>
      </c>
      <c r="B39" s="29">
        <v>42940</v>
      </c>
      <c r="C39" s="28" t="s">
        <v>30</v>
      </c>
      <c r="D39" s="28"/>
      <c r="E39" s="28"/>
      <c r="F39" s="28">
        <v>1</v>
      </c>
      <c r="G39" s="28"/>
      <c r="H39" s="28"/>
      <c r="I39" s="28"/>
      <c r="J39" s="33" t="s">
        <v>87</v>
      </c>
      <c r="K39" s="28" t="s">
        <v>86</v>
      </c>
      <c r="L39" s="28" t="s">
        <v>25</v>
      </c>
      <c r="M39" s="28" t="s">
        <v>25</v>
      </c>
      <c r="N39" s="28" t="s">
        <v>25</v>
      </c>
      <c r="O39" s="28" t="s">
        <v>25</v>
      </c>
      <c r="P39" s="28" t="s">
        <v>25</v>
      </c>
      <c r="Q39" s="28" t="s">
        <v>26</v>
      </c>
      <c r="R39" s="28" t="s">
        <v>25</v>
      </c>
      <c r="S39" s="28" t="s">
        <v>25</v>
      </c>
      <c r="U39" s="109"/>
      <c r="V39" s="9" t="s">
        <v>25</v>
      </c>
      <c r="W39" s="15">
        <f>+COUNTIF(R5:R65,"No")</f>
        <v>16</v>
      </c>
      <c r="X39" s="126"/>
      <c r="Y39" s="6" t="s">
        <v>115</v>
      </c>
      <c r="Z39" s="51">
        <f>COUNTIFS(C5:$C$65,"F",R5:R65,"Si")</f>
        <v>8</v>
      </c>
      <c r="AA39" s="126"/>
      <c r="AB39" s="6" t="s">
        <v>115</v>
      </c>
      <c r="AC39" s="57">
        <f>COUNTIFS(C5:$C$65,"F",R5:R65,"No")</f>
        <v>11</v>
      </c>
      <c r="AD39" s="126"/>
      <c r="AE39" s="6" t="s">
        <v>5</v>
      </c>
      <c r="AF39" s="6">
        <f>COUNTIFS($E$5:$E$65,"1",$R$5:$R$65,"Si")</f>
        <v>1</v>
      </c>
      <c r="AG39" s="39" t="s">
        <v>8</v>
      </c>
      <c r="AH39" s="6">
        <f>COUNTIFS($H$5:$H$65,"1",$R$5:$R$65,"Si")</f>
        <v>2</v>
      </c>
      <c r="AI39" s="6"/>
      <c r="AJ39" s="51"/>
      <c r="AK39" s="50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5.75" thickBot="1" x14ac:dyDescent="0.3">
      <c r="A40" s="3">
        <v>36</v>
      </c>
      <c r="B40" s="29"/>
      <c r="C40" s="31"/>
      <c r="D40" s="28"/>
      <c r="E40" s="28"/>
      <c r="F40" s="28"/>
      <c r="G40" s="28"/>
      <c r="H40" s="28"/>
      <c r="I40" s="28"/>
      <c r="J40" s="33"/>
      <c r="K40" s="28"/>
      <c r="L40" s="31"/>
      <c r="M40" s="31"/>
      <c r="N40" s="31"/>
      <c r="O40" s="31"/>
      <c r="P40" s="31"/>
      <c r="Q40" s="31"/>
      <c r="R40" s="31"/>
      <c r="S40" s="31"/>
      <c r="U40" s="110"/>
      <c r="V40" s="13" t="s">
        <v>29</v>
      </c>
      <c r="W40" s="16">
        <f>+COUNTIF(R5:R65,"Blanco")</f>
        <v>0</v>
      </c>
      <c r="X40" s="127"/>
      <c r="Y40" s="26" t="s">
        <v>29</v>
      </c>
      <c r="Z40" s="52">
        <f>COUNTIFS(C5:$C$65,"Blanco",R5:R65,"Si")</f>
        <v>0</v>
      </c>
      <c r="AA40" s="127"/>
      <c r="AB40" s="26" t="s">
        <v>29</v>
      </c>
      <c r="AC40" s="58">
        <f>COUNTIFS(C5:$C$65,"Blanco",R5:R65,"No")</f>
        <v>0</v>
      </c>
      <c r="AD40" s="127"/>
      <c r="AE40" s="26" t="s">
        <v>6</v>
      </c>
      <c r="AF40" s="26">
        <f>COUNTIFS($F$5:$F$65,"1",$R$5:$R$65,"Si")</f>
        <v>2</v>
      </c>
      <c r="AG40" s="26" t="s">
        <v>9</v>
      </c>
      <c r="AH40" s="26">
        <f>COUNTIFS($I$5:$I$65,"1",$R$5:$R$65,"Si")</f>
        <v>11</v>
      </c>
      <c r="AI40" s="26"/>
      <c r="AJ40" s="52"/>
      <c r="AK40" s="50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x14ac:dyDescent="0.25">
      <c r="A41" s="3">
        <v>37</v>
      </c>
      <c r="B41" s="29"/>
      <c r="C41" s="31"/>
      <c r="D41" s="28"/>
      <c r="E41" s="28"/>
      <c r="F41" s="28"/>
      <c r="G41" s="28"/>
      <c r="H41" s="28"/>
      <c r="I41" s="28"/>
      <c r="J41" s="33"/>
      <c r="K41" s="28"/>
      <c r="L41" s="31"/>
      <c r="M41" s="31"/>
      <c r="N41" s="31"/>
      <c r="O41" s="31"/>
      <c r="P41" s="31"/>
      <c r="Q41" s="31"/>
      <c r="R41" s="31"/>
      <c r="S41" s="31"/>
      <c r="U41" s="137" t="s">
        <v>43</v>
      </c>
      <c r="V41" s="12" t="s">
        <v>20</v>
      </c>
      <c r="W41" s="14">
        <f>+COUNTIF(S5:S65,"Si")</f>
        <v>17</v>
      </c>
      <c r="X41" s="125" t="s">
        <v>118</v>
      </c>
      <c r="Y41" s="48" t="s">
        <v>114</v>
      </c>
      <c r="Z41" s="49">
        <f>COUNTIFS(C5:$C$65,"M",S5:S65,"Si")</f>
        <v>10</v>
      </c>
      <c r="AA41" s="125" t="s">
        <v>117</v>
      </c>
      <c r="AB41" s="48" t="s">
        <v>114</v>
      </c>
      <c r="AC41" s="55">
        <f>COUNTIFS(C5:$C$65,"M",S5:S65,"No")</f>
        <v>6</v>
      </c>
      <c r="AD41" s="125" t="s">
        <v>118</v>
      </c>
      <c r="AE41" s="48" t="s">
        <v>4</v>
      </c>
      <c r="AF41" s="48">
        <f>COUNTIFS($D$5:$D$65,"1",$S$5:$S$65,"Si")</f>
        <v>3</v>
      </c>
      <c r="AG41" s="48" t="s">
        <v>7</v>
      </c>
      <c r="AH41" s="48">
        <f>COUNTIFS($G$5:$G$65,"1",$S$5:$S$65,"Si")</f>
        <v>1</v>
      </c>
      <c r="AI41" s="48" t="s">
        <v>29</v>
      </c>
      <c r="AJ41" s="49">
        <f>COUNTIFS($I$5:$I$65,"Blanco",$S$5:$S$65,"Si")</f>
        <v>0</v>
      </c>
      <c r="AK41" s="50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x14ac:dyDescent="0.25">
      <c r="A42" s="3">
        <v>38</v>
      </c>
      <c r="B42" s="29"/>
      <c r="C42" s="28"/>
      <c r="D42" s="28"/>
      <c r="E42" s="28"/>
      <c r="F42" s="28"/>
      <c r="G42" s="28"/>
      <c r="H42" s="28"/>
      <c r="I42" s="28"/>
      <c r="J42" s="33"/>
      <c r="K42" s="28"/>
      <c r="L42" s="28"/>
      <c r="M42" s="28"/>
      <c r="N42" s="28"/>
      <c r="O42" s="28"/>
      <c r="P42" s="28"/>
      <c r="Q42" s="28"/>
      <c r="R42" s="28"/>
      <c r="S42" s="28"/>
      <c r="U42" s="109"/>
      <c r="V42" s="9" t="s">
        <v>25</v>
      </c>
      <c r="W42" s="15">
        <f>+COUNTIF(S5:S65,"No")</f>
        <v>18</v>
      </c>
      <c r="X42" s="126"/>
      <c r="Y42" s="6" t="s">
        <v>115</v>
      </c>
      <c r="Z42" s="51">
        <f>COUNTIFS(C5:$C$65,"F",S5:S65,"Si")</f>
        <v>7</v>
      </c>
      <c r="AA42" s="126"/>
      <c r="AB42" s="6" t="s">
        <v>115</v>
      </c>
      <c r="AC42" s="57">
        <f>COUNTIFS(C5:$C$65,"F",S5:S65,"No")</f>
        <v>12</v>
      </c>
      <c r="AD42" s="126"/>
      <c r="AE42" s="6" t="s">
        <v>5</v>
      </c>
      <c r="AF42" s="6">
        <f>COUNTIFS($E$5:$E$65,"1",$S$5:$S$65,"Si")</f>
        <v>1</v>
      </c>
      <c r="AG42" s="39" t="s">
        <v>8</v>
      </c>
      <c r="AH42" s="6">
        <f>COUNTIFS($H$5:$H$65,"1",$S$5:$S$65,"Si")</f>
        <v>2</v>
      </c>
      <c r="AI42" s="6"/>
      <c r="AJ42" s="51"/>
      <c r="AK42" s="50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5.75" thickBot="1" x14ac:dyDescent="0.3">
      <c r="A43" s="3">
        <v>39</v>
      </c>
      <c r="B43" s="29"/>
      <c r="C43" s="28"/>
      <c r="D43" s="28"/>
      <c r="E43" s="28"/>
      <c r="F43" s="28"/>
      <c r="G43" s="28"/>
      <c r="H43" s="28"/>
      <c r="I43" s="28"/>
      <c r="J43" s="33"/>
      <c r="K43" s="28"/>
      <c r="L43" s="28"/>
      <c r="M43" s="28"/>
      <c r="N43" s="28"/>
      <c r="O43" s="28"/>
      <c r="P43" s="28"/>
      <c r="Q43" s="28"/>
      <c r="R43" s="28"/>
      <c r="S43" s="28"/>
      <c r="U43" s="110"/>
      <c r="V43" s="13" t="s">
        <v>29</v>
      </c>
      <c r="W43" s="16">
        <f>+COUNTIF(S5:S65,"Blanco")</f>
        <v>0</v>
      </c>
      <c r="X43" s="127"/>
      <c r="Y43" s="26" t="s">
        <v>29</v>
      </c>
      <c r="Z43" s="52">
        <f>COUNTIFS(C5:$C$65,"Blanco",S5:S65,"Si")</f>
        <v>0</v>
      </c>
      <c r="AA43" s="127"/>
      <c r="AB43" s="26" t="s">
        <v>29</v>
      </c>
      <c r="AC43" s="58">
        <f>COUNTIFS(C5:$C$65,"Blanco",S5:S65,"No")</f>
        <v>0</v>
      </c>
      <c r="AD43" s="127"/>
      <c r="AE43" s="26" t="s">
        <v>6</v>
      </c>
      <c r="AF43" s="26">
        <f>COUNTIFS($F$5:$F$65,"1",$S$5:$S$65,"Si")</f>
        <v>3</v>
      </c>
      <c r="AG43" s="26" t="s">
        <v>9</v>
      </c>
      <c r="AH43" s="26">
        <f>COUNTIFS($I$5:$I$65,"1",$S$5:$S$65,"Si")</f>
        <v>7</v>
      </c>
      <c r="AI43" s="26"/>
      <c r="AJ43" s="52"/>
      <c r="AK43" s="50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x14ac:dyDescent="0.25">
      <c r="A44" s="3">
        <v>40</v>
      </c>
      <c r="B44" s="29"/>
      <c r="C44" s="28"/>
      <c r="D44" s="28"/>
      <c r="E44" s="28"/>
      <c r="F44" s="28"/>
      <c r="G44" s="28"/>
      <c r="H44" s="28"/>
      <c r="I44" s="28"/>
      <c r="J44" s="33"/>
      <c r="K44" s="28"/>
      <c r="L44" s="28"/>
      <c r="M44" s="28"/>
      <c r="N44" s="28"/>
      <c r="O44" s="28"/>
      <c r="P44" s="28"/>
      <c r="Q44" s="28"/>
      <c r="R44" s="28"/>
      <c r="S44" s="28"/>
    </row>
    <row r="45" spans="1:50" x14ac:dyDescent="0.25">
      <c r="A45" s="3">
        <v>41</v>
      </c>
      <c r="B45" s="29"/>
      <c r="C45" s="28"/>
      <c r="D45" s="28"/>
      <c r="E45" s="28"/>
      <c r="F45" s="28"/>
      <c r="G45" s="28"/>
      <c r="H45" s="28"/>
      <c r="I45" s="28"/>
      <c r="J45" s="33"/>
      <c r="K45" s="28"/>
      <c r="L45" s="28"/>
      <c r="M45" s="28"/>
      <c r="N45" s="28"/>
      <c r="O45" s="28"/>
      <c r="P45" s="28"/>
      <c r="Q45" s="28"/>
      <c r="R45" s="28"/>
      <c r="S45" s="28"/>
    </row>
    <row r="46" spans="1:50" x14ac:dyDescent="0.25">
      <c r="A46" s="3">
        <v>42</v>
      </c>
      <c r="B46" s="29"/>
      <c r="C46" s="28"/>
      <c r="D46" s="28"/>
      <c r="E46" s="28"/>
      <c r="F46" s="28"/>
      <c r="G46" s="28"/>
      <c r="H46" s="28"/>
      <c r="I46" s="28"/>
      <c r="J46" s="33"/>
      <c r="K46" s="28"/>
      <c r="L46" s="28"/>
      <c r="M46" s="28"/>
      <c r="N46" s="28"/>
      <c r="O46" s="28"/>
      <c r="P46" s="28"/>
      <c r="Q46" s="28"/>
      <c r="R46" s="28"/>
      <c r="S46" s="28"/>
    </row>
    <row r="47" spans="1:50" x14ac:dyDescent="0.25">
      <c r="A47" s="3">
        <v>43</v>
      </c>
      <c r="B47" s="29"/>
      <c r="C47" s="28"/>
      <c r="D47" s="28"/>
      <c r="E47" s="28"/>
      <c r="F47" s="28"/>
      <c r="G47" s="28"/>
      <c r="H47" s="28"/>
      <c r="I47" s="28"/>
      <c r="J47" s="33"/>
      <c r="K47" s="28"/>
      <c r="L47" s="28"/>
      <c r="M47" s="28"/>
      <c r="N47" s="28"/>
      <c r="O47" s="28"/>
      <c r="P47" s="28"/>
      <c r="Q47" s="28"/>
      <c r="R47" s="28"/>
      <c r="S47" s="28"/>
    </row>
    <row r="48" spans="1:50" x14ac:dyDescent="0.25">
      <c r="A48" s="3">
        <v>44</v>
      </c>
      <c r="B48" s="29"/>
      <c r="C48" s="28"/>
      <c r="D48" s="28"/>
      <c r="E48" s="28"/>
      <c r="F48" s="28"/>
      <c r="G48" s="28"/>
      <c r="H48" s="28"/>
      <c r="I48" s="28"/>
      <c r="J48" s="33"/>
      <c r="K48" s="28"/>
      <c r="L48" s="28"/>
      <c r="M48" s="28"/>
      <c r="N48" s="28"/>
      <c r="O48" s="28"/>
      <c r="P48" s="28"/>
      <c r="Q48" s="28"/>
      <c r="R48" s="28"/>
      <c r="S48" s="28"/>
    </row>
    <row r="49" spans="1:19" x14ac:dyDescent="0.25">
      <c r="A49" s="3">
        <v>45</v>
      </c>
      <c r="B49" s="29"/>
      <c r="C49" s="28"/>
      <c r="D49" s="28"/>
      <c r="E49" s="28"/>
      <c r="F49" s="28"/>
      <c r="G49" s="28"/>
      <c r="H49" s="28"/>
      <c r="I49" s="28"/>
      <c r="J49" s="33"/>
      <c r="K49" s="28"/>
      <c r="L49" s="28"/>
      <c r="M49" s="28"/>
      <c r="N49" s="28"/>
      <c r="O49" s="28"/>
      <c r="P49" s="28"/>
      <c r="Q49" s="28"/>
      <c r="R49" s="28"/>
      <c r="S49" s="28"/>
    </row>
    <row r="50" spans="1:19" x14ac:dyDescent="0.25">
      <c r="A50" s="3">
        <v>46</v>
      </c>
      <c r="B50" s="29"/>
      <c r="C50" s="28"/>
      <c r="D50" s="28"/>
      <c r="E50" s="28"/>
      <c r="F50" s="28"/>
      <c r="G50" s="28"/>
      <c r="H50" s="28"/>
      <c r="I50" s="28"/>
      <c r="J50" s="33"/>
      <c r="K50" s="28"/>
      <c r="L50" s="28"/>
      <c r="M50" s="28"/>
      <c r="N50" s="28"/>
      <c r="O50" s="28"/>
      <c r="P50" s="28"/>
      <c r="Q50" s="28"/>
      <c r="R50" s="28"/>
      <c r="S50" s="28"/>
    </row>
    <row r="51" spans="1:19" x14ac:dyDescent="0.25">
      <c r="A51" s="3">
        <v>47</v>
      </c>
      <c r="B51" s="29"/>
      <c r="C51" s="28"/>
      <c r="D51" s="28"/>
      <c r="E51" s="28"/>
      <c r="F51" s="28"/>
      <c r="G51" s="28"/>
      <c r="H51" s="28"/>
      <c r="I51" s="28"/>
      <c r="J51" s="33"/>
      <c r="K51" s="28"/>
      <c r="L51" s="28"/>
      <c r="M51" s="28"/>
      <c r="N51" s="28"/>
      <c r="O51" s="28"/>
      <c r="P51" s="28"/>
      <c r="Q51" s="28"/>
      <c r="R51" s="28"/>
      <c r="S51" s="28"/>
    </row>
    <row r="52" spans="1:19" x14ac:dyDescent="0.25">
      <c r="A52" s="3">
        <v>48</v>
      </c>
      <c r="B52" s="29"/>
      <c r="C52" s="28"/>
      <c r="D52" s="28"/>
      <c r="E52" s="28"/>
      <c r="F52" s="28"/>
      <c r="G52" s="28"/>
      <c r="H52" s="28"/>
      <c r="I52" s="28"/>
      <c r="J52" s="33"/>
      <c r="K52" s="28"/>
      <c r="L52" s="28"/>
      <c r="M52" s="28"/>
      <c r="N52" s="28"/>
      <c r="O52" s="28"/>
      <c r="P52" s="28"/>
      <c r="Q52" s="28"/>
      <c r="R52" s="28"/>
      <c r="S52" s="28"/>
    </row>
    <row r="53" spans="1:19" x14ac:dyDescent="0.25">
      <c r="A53" s="3">
        <v>49</v>
      </c>
      <c r="B53" s="29"/>
      <c r="C53" s="28"/>
      <c r="D53" s="28"/>
      <c r="E53" s="28"/>
      <c r="F53" s="28"/>
      <c r="G53" s="28"/>
      <c r="H53" s="28"/>
      <c r="I53" s="28"/>
      <c r="J53" s="33"/>
      <c r="K53" s="28"/>
      <c r="L53" s="28"/>
      <c r="M53" s="28"/>
      <c r="N53" s="28"/>
      <c r="O53" s="28"/>
      <c r="P53" s="28"/>
      <c r="Q53" s="28"/>
      <c r="R53" s="28"/>
      <c r="S53" s="28"/>
    </row>
    <row r="54" spans="1:19" x14ac:dyDescent="0.25">
      <c r="A54" s="3">
        <v>50</v>
      </c>
      <c r="B54" s="29"/>
      <c r="C54" s="28"/>
      <c r="D54" s="28"/>
      <c r="E54" s="28"/>
      <c r="F54" s="28"/>
      <c r="G54" s="28"/>
      <c r="H54" s="28"/>
      <c r="I54" s="28"/>
      <c r="J54" s="33"/>
      <c r="K54" s="28"/>
      <c r="L54" s="28"/>
      <c r="M54" s="28"/>
      <c r="N54" s="28"/>
      <c r="O54" s="28"/>
      <c r="P54" s="28"/>
      <c r="Q54" s="28"/>
      <c r="R54" s="28"/>
      <c r="S54" s="28"/>
    </row>
    <row r="55" spans="1:19" x14ac:dyDescent="0.25">
      <c r="A55" s="3">
        <v>51</v>
      </c>
      <c r="B55" s="29"/>
      <c r="C55" s="28"/>
      <c r="D55" s="28"/>
      <c r="E55" s="28"/>
      <c r="F55" s="28"/>
      <c r="G55" s="28"/>
      <c r="H55" s="28"/>
      <c r="I55" s="28"/>
      <c r="J55" s="33"/>
      <c r="K55" s="28"/>
      <c r="L55" s="28"/>
      <c r="M55" s="28"/>
      <c r="N55" s="28"/>
      <c r="O55" s="28"/>
      <c r="P55" s="28"/>
      <c r="Q55" s="28"/>
      <c r="R55" s="28"/>
      <c r="S55" s="28"/>
    </row>
    <row r="56" spans="1:19" x14ac:dyDescent="0.25">
      <c r="A56" s="3">
        <v>52</v>
      </c>
      <c r="B56" s="29"/>
      <c r="C56" s="28"/>
      <c r="D56" s="28"/>
      <c r="E56" s="28"/>
      <c r="F56" s="28"/>
      <c r="G56" s="28"/>
      <c r="H56" s="28"/>
      <c r="I56" s="28"/>
      <c r="J56" s="33"/>
      <c r="K56" s="28"/>
      <c r="L56" s="28"/>
      <c r="M56" s="28"/>
      <c r="N56" s="28"/>
      <c r="O56" s="28"/>
      <c r="P56" s="28"/>
      <c r="Q56" s="28"/>
      <c r="R56" s="28"/>
      <c r="S56" s="28"/>
    </row>
    <row r="57" spans="1:19" x14ac:dyDescent="0.25">
      <c r="A57" s="3">
        <v>53</v>
      </c>
      <c r="B57" s="29"/>
      <c r="C57" s="28"/>
      <c r="D57" s="28"/>
      <c r="E57" s="28"/>
      <c r="F57" s="28"/>
      <c r="G57" s="28"/>
      <c r="H57" s="28"/>
      <c r="I57" s="28"/>
      <c r="J57" s="33"/>
      <c r="K57" s="28"/>
      <c r="L57" s="28"/>
      <c r="M57" s="28"/>
      <c r="N57" s="28"/>
      <c r="O57" s="28"/>
      <c r="P57" s="28"/>
      <c r="Q57" s="28"/>
      <c r="R57" s="28"/>
      <c r="S57" s="28"/>
    </row>
    <row r="58" spans="1:19" x14ac:dyDescent="0.25">
      <c r="A58" s="3">
        <v>54</v>
      </c>
      <c r="B58" s="29"/>
      <c r="C58" s="28"/>
      <c r="D58" s="28"/>
      <c r="E58" s="28"/>
      <c r="F58" s="28"/>
      <c r="G58" s="28"/>
      <c r="H58" s="28"/>
      <c r="I58" s="28"/>
      <c r="J58" s="33"/>
      <c r="K58" s="28"/>
      <c r="L58" s="28"/>
      <c r="M58" s="28"/>
      <c r="N58" s="28"/>
      <c r="O58" s="28"/>
      <c r="P58" s="28"/>
      <c r="Q58" s="28"/>
      <c r="R58" s="28"/>
      <c r="S58" s="28"/>
    </row>
    <row r="59" spans="1:19" x14ac:dyDescent="0.25">
      <c r="A59" s="3">
        <v>55</v>
      </c>
      <c r="B59" s="29"/>
      <c r="C59" s="28"/>
      <c r="D59" s="28"/>
      <c r="E59" s="28"/>
      <c r="F59" s="28"/>
      <c r="G59" s="28"/>
      <c r="H59" s="28"/>
      <c r="I59" s="28"/>
      <c r="J59" s="33"/>
      <c r="K59" s="28"/>
      <c r="L59" s="28"/>
      <c r="M59" s="28"/>
      <c r="N59" s="28"/>
      <c r="O59" s="28"/>
      <c r="P59" s="28"/>
      <c r="Q59" s="28"/>
      <c r="R59" s="28"/>
      <c r="S59" s="28"/>
    </row>
    <row r="60" spans="1:19" x14ac:dyDescent="0.25">
      <c r="A60" s="3">
        <v>56</v>
      </c>
      <c r="B60" s="29"/>
      <c r="C60" s="28"/>
      <c r="D60" s="28"/>
      <c r="E60" s="28"/>
      <c r="F60" s="28"/>
      <c r="G60" s="28"/>
      <c r="H60" s="28"/>
      <c r="I60" s="28"/>
      <c r="J60" s="33"/>
      <c r="K60" s="28"/>
      <c r="L60" s="28"/>
      <c r="M60" s="28"/>
      <c r="N60" s="28"/>
      <c r="O60" s="28"/>
      <c r="P60" s="28"/>
      <c r="Q60" s="28"/>
      <c r="R60" s="28"/>
      <c r="S60" s="28"/>
    </row>
    <row r="61" spans="1:19" x14ac:dyDescent="0.25">
      <c r="A61" s="3">
        <v>57</v>
      </c>
      <c r="B61" s="29"/>
      <c r="C61" s="28"/>
      <c r="D61" s="28"/>
      <c r="E61" s="28"/>
      <c r="F61" s="28"/>
      <c r="G61" s="28"/>
      <c r="H61" s="28"/>
      <c r="I61" s="28"/>
      <c r="J61" s="33"/>
      <c r="K61" s="28"/>
      <c r="L61" s="28"/>
      <c r="M61" s="28"/>
      <c r="N61" s="28"/>
      <c r="O61" s="28"/>
      <c r="P61" s="28"/>
      <c r="Q61" s="28"/>
      <c r="R61" s="28"/>
      <c r="S61" s="28"/>
    </row>
    <row r="62" spans="1:19" x14ac:dyDescent="0.25">
      <c r="A62" s="3">
        <v>58</v>
      </c>
      <c r="B62" s="29"/>
      <c r="C62" s="28"/>
      <c r="D62" s="28"/>
      <c r="E62" s="28"/>
      <c r="F62" s="28"/>
      <c r="G62" s="28"/>
      <c r="H62" s="28"/>
      <c r="I62" s="28"/>
      <c r="J62" s="33"/>
      <c r="K62" s="28"/>
      <c r="L62" s="28"/>
      <c r="M62" s="28"/>
      <c r="N62" s="28"/>
      <c r="O62" s="28"/>
      <c r="P62" s="28"/>
      <c r="Q62" s="28"/>
      <c r="R62" s="28"/>
      <c r="S62" s="28"/>
    </row>
    <row r="63" spans="1:19" x14ac:dyDescent="0.25">
      <c r="A63" s="3">
        <v>59</v>
      </c>
      <c r="B63" s="29"/>
      <c r="C63" s="28"/>
      <c r="D63" s="28"/>
      <c r="E63" s="28"/>
      <c r="F63" s="28"/>
      <c r="G63" s="28"/>
      <c r="H63" s="28"/>
      <c r="I63" s="28"/>
      <c r="J63" s="33"/>
      <c r="K63" s="28"/>
      <c r="L63" s="28"/>
      <c r="M63" s="28"/>
      <c r="N63" s="28"/>
      <c r="O63" s="28"/>
      <c r="P63" s="28"/>
      <c r="Q63" s="28"/>
      <c r="R63" s="28"/>
      <c r="S63" s="28"/>
    </row>
    <row r="64" spans="1:19" x14ac:dyDescent="0.25">
      <c r="A64" s="3">
        <v>60</v>
      </c>
      <c r="B64" s="29"/>
      <c r="C64" s="28"/>
      <c r="D64" s="28"/>
      <c r="E64" s="28"/>
      <c r="F64" s="28"/>
      <c r="G64" s="28"/>
      <c r="H64" s="28"/>
      <c r="I64" s="28"/>
      <c r="J64" s="33"/>
      <c r="K64" s="28"/>
      <c r="L64" s="28"/>
      <c r="M64" s="28"/>
      <c r="N64" s="28"/>
      <c r="O64" s="28"/>
      <c r="P64" s="28"/>
      <c r="Q64" s="28"/>
      <c r="R64" s="28"/>
      <c r="S64" s="28"/>
    </row>
    <row r="65" spans="1:19" x14ac:dyDescent="0.25">
      <c r="A65" s="3">
        <v>61</v>
      </c>
      <c r="B65" s="29"/>
      <c r="C65" s="28"/>
      <c r="D65" s="28"/>
      <c r="E65" s="28"/>
      <c r="F65" s="28"/>
      <c r="G65" s="28"/>
      <c r="H65" s="28"/>
      <c r="I65" s="28"/>
      <c r="J65" s="33"/>
      <c r="K65" s="28"/>
      <c r="L65" s="28"/>
      <c r="M65" s="28"/>
      <c r="N65" s="28"/>
      <c r="O65" s="28"/>
      <c r="P65" s="28"/>
      <c r="Q65" s="28"/>
      <c r="R65" s="28"/>
      <c r="S65" s="28"/>
    </row>
  </sheetData>
  <mergeCells count="58">
    <mergeCell ref="X41:X43"/>
    <mergeCell ref="AA41:AA43"/>
    <mergeCell ref="AD41:AD43"/>
    <mergeCell ref="AG34:AG36"/>
    <mergeCell ref="AK34:AK36"/>
    <mergeCell ref="AR34:AR36"/>
    <mergeCell ref="X38:X40"/>
    <mergeCell ref="AA38:AA40"/>
    <mergeCell ref="AD38:AD40"/>
    <mergeCell ref="X31:X33"/>
    <mergeCell ref="AA31:AA33"/>
    <mergeCell ref="AD31:AD33"/>
    <mergeCell ref="X34:X36"/>
    <mergeCell ref="AA34:AA36"/>
    <mergeCell ref="AD34:AD36"/>
    <mergeCell ref="X25:X27"/>
    <mergeCell ref="AA25:AA27"/>
    <mergeCell ref="AD25:AD27"/>
    <mergeCell ref="X28:X30"/>
    <mergeCell ref="AA28:AA30"/>
    <mergeCell ref="AD28:AD30"/>
    <mergeCell ref="X19:X21"/>
    <mergeCell ref="AA19:AA21"/>
    <mergeCell ref="AD19:AD21"/>
    <mergeCell ref="X22:X24"/>
    <mergeCell ref="AA22:AA24"/>
    <mergeCell ref="AD22:AD24"/>
    <mergeCell ref="A1:S1"/>
    <mergeCell ref="U1:W1"/>
    <mergeCell ref="A2:S2"/>
    <mergeCell ref="U2:V2"/>
    <mergeCell ref="A3:A4"/>
    <mergeCell ref="B3:B4"/>
    <mergeCell ref="C3:C4"/>
    <mergeCell ref="D3:I3"/>
    <mergeCell ref="J3:J4"/>
    <mergeCell ref="K3:K4"/>
    <mergeCell ref="U6:U12"/>
    <mergeCell ref="L3:L4"/>
    <mergeCell ref="M3:M4"/>
    <mergeCell ref="N3:N4"/>
    <mergeCell ref="O3:O4"/>
    <mergeCell ref="P3:P4"/>
    <mergeCell ref="Q3:Q4"/>
    <mergeCell ref="R3:R4"/>
    <mergeCell ref="S3:S4"/>
    <mergeCell ref="U3:V3"/>
    <mergeCell ref="U4:V4"/>
    <mergeCell ref="U5:V5"/>
    <mergeCell ref="U34:U37"/>
    <mergeCell ref="U38:U40"/>
    <mergeCell ref="U41:U43"/>
    <mergeCell ref="U13:U18"/>
    <mergeCell ref="U19:U21"/>
    <mergeCell ref="U22:U24"/>
    <mergeCell ref="U25:U27"/>
    <mergeCell ref="U28:U30"/>
    <mergeCell ref="U31:U33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65"/>
  <sheetViews>
    <sheetView topLeftCell="V1" zoomScale="50" zoomScaleNormal="50" workbookViewId="0">
      <selection activeCell="AT34" sqref="AT34:AX36"/>
    </sheetView>
  </sheetViews>
  <sheetFormatPr baseColWidth="10" defaultRowHeight="15" x14ac:dyDescent="0.25"/>
  <cols>
    <col min="1" max="1" width="6.28515625" style="1" bestFit="1" customWidth="1"/>
    <col min="2" max="2" width="17.42578125" customWidth="1"/>
    <col min="4" max="4" width="9.7109375" bestFit="1" customWidth="1"/>
    <col min="5" max="5" width="10.140625" bestFit="1" customWidth="1"/>
    <col min="6" max="6" width="9.7109375" bestFit="1" customWidth="1"/>
    <col min="7" max="7" width="10.140625" bestFit="1" customWidth="1"/>
    <col min="8" max="8" width="9.7109375" bestFit="1" customWidth="1"/>
    <col min="9" max="9" width="14.140625" customWidth="1"/>
    <col min="10" max="10" width="20.140625" bestFit="1" customWidth="1"/>
    <col min="11" max="11" width="16" bestFit="1" customWidth="1"/>
    <col min="12" max="19" width="14.28515625" customWidth="1"/>
    <col min="21" max="21" width="48.42578125" style="7" customWidth="1"/>
    <col min="22" max="22" width="23.85546875" bestFit="1" customWidth="1"/>
    <col min="23" max="23" width="11.42578125" style="1"/>
  </cols>
  <sheetData>
    <row r="1" spans="1:23" ht="15.75" thickBot="1" x14ac:dyDescent="0.3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U1" s="144" t="s">
        <v>46</v>
      </c>
      <c r="V1" s="145"/>
      <c r="W1" s="148"/>
    </row>
    <row r="2" spans="1:23" ht="15.75" thickBot="1" x14ac:dyDescent="0.3">
      <c r="A2" s="123" t="s">
        <v>21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U2" s="144" t="s">
        <v>44</v>
      </c>
      <c r="V2" s="145"/>
      <c r="W2" s="17">
        <f>+COUNTIF(C5:C65,"M")</f>
        <v>12</v>
      </c>
    </row>
    <row r="3" spans="1:23" ht="15.75" customHeight="1" thickBot="1" x14ac:dyDescent="0.3">
      <c r="A3" s="149" t="s">
        <v>22</v>
      </c>
      <c r="B3" s="151" t="s">
        <v>2</v>
      </c>
      <c r="C3" s="149" t="s">
        <v>1</v>
      </c>
      <c r="D3" s="123" t="s">
        <v>3</v>
      </c>
      <c r="E3" s="123"/>
      <c r="F3" s="123"/>
      <c r="G3" s="123"/>
      <c r="H3" s="123"/>
      <c r="I3" s="123"/>
      <c r="J3" s="149" t="s">
        <v>11</v>
      </c>
      <c r="K3" s="149" t="s">
        <v>10</v>
      </c>
      <c r="L3" s="142" t="s">
        <v>12</v>
      </c>
      <c r="M3" s="142" t="s">
        <v>13</v>
      </c>
      <c r="N3" s="142" t="s">
        <v>14</v>
      </c>
      <c r="O3" s="142" t="s">
        <v>15</v>
      </c>
      <c r="P3" s="142" t="s">
        <v>16</v>
      </c>
      <c r="Q3" s="142" t="s">
        <v>17</v>
      </c>
      <c r="R3" s="142" t="s">
        <v>18</v>
      </c>
      <c r="S3" s="142" t="s">
        <v>19</v>
      </c>
      <c r="U3" s="144" t="s">
        <v>45</v>
      </c>
      <c r="V3" s="145"/>
      <c r="W3" s="17">
        <f>+COUNTIF(C5:C65,"F")</f>
        <v>23</v>
      </c>
    </row>
    <row r="4" spans="1:23" ht="15.75" customHeight="1" thickBot="1" x14ac:dyDescent="0.3">
      <c r="A4" s="150"/>
      <c r="B4" s="152"/>
      <c r="C4" s="150"/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150"/>
      <c r="K4" s="150"/>
      <c r="L4" s="143"/>
      <c r="M4" s="143"/>
      <c r="N4" s="143"/>
      <c r="O4" s="143"/>
      <c r="P4" s="143"/>
      <c r="Q4" s="143"/>
      <c r="R4" s="143"/>
      <c r="S4" s="143"/>
      <c r="U4" s="146" t="s">
        <v>29</v>
      </c>
      <c r="V4" s="147"/>
      <c r="W4" s="17">
        <f>+COUNTIF(C5:C65,"Blanco")</f>
        <v>0</v>
      </c>
    </row>
    <row r="5" spans="1:23" ht="15.75" thickBot="1" x14ac:dyDescent="0.3">
      <c r="A5" s="3">
        <v>1</v>
      </c>
      <c r="B5" s="29">
        <v>42937</v>
      </c>
      <c r="C5" s="28" t="s">
        <v>23</v>
      </c>
      <c r="D5" s="28"/>
      <c r="E5" s="28"/>
      <c r="F5" s="28"/>
      <c r="G5" s="28"/>
      <c r="H5" s="28">
        <v>1</v>
      </c>
      <c r="I5" s="28"/>
      <c r="J5" s="33" t="s">
        <v>92</v>
      </c>
      <c r="K5" s="33" t="s">
        <v>92</v>
      </c>
      <c r="L5" s="28" t="s">
        <v>20</v>
      </c>
      <c r="M5" s="28" t="s">
        <v>20</v>
      </c>
      <c r="N5" s="28" t="s">
        <v>20</v>
      </c>
      <c r="O5" s="28" t="s">
        <v>20</v>
      </c>
      <c r="P5" s="28" t="s">
        <v>20</v>
      </c>
      <c r="Q5" s="28" t="s">
        <v>27</v>
      </c>
      <c r="R5" s="28" t="s">
        <v>20</v>
      </c>
      <c r="S5" s="28" t="s">
        <v>20</v>
      </c>
      <c r="U5" s="146" t="s">
        <v>47</v>
      </c>
      <c r="V5" s="147"/>
      <c r="W5" s="18">
        <f>SUM(W2:W4)</f>
        <v>35</v>
      </c>
    </row>
    <row r="6" spans="1:23" x14ac:dyDescent="0.25">
      <c r="A6" s="3">
        <v>2</v>
      </c>
      <c r="B6" s="29">
        <v>42937</v>
      </c>
      <c r="C6" s="28" t="s">
        <v>30</v>
      </c>
      <c r="D6" s="28"/>
      <c r="E6" s="28"/>
      <c r="F6" s="28"/>
      <c r="G6" s="28"/>
      <c r="H6" s="28"/>
      <c r="I6" s="28" t="s">
        <v>29</v>
      </c>
      <c r="J6" s="33" t="s">
        <v>92</v>
      </c>
      <c r="K6" s="33" t="s">
        <v>92</v>
      </c>
      <c r="L6" s="28" t="s">
        <v>20</v>
      </c>
      <c r="M6" s="28" t="s">
        <v>20</v>
      </c>
      <c r="N6" s="28" t="s">
        <v>20</v>
      </c>
      <c r="O6" s="28" t="s">
        <v>20</v>
      </c>
      <c r="P6" s="28" t="s">
        <v>25</v>
      </c>
      <c r="Q6" s="28" t="s">
        <v>34</v>
      </c>
      <c r="R6" s="28" t="s">
        <v>20</v>
      </c>
      <c r="S6" s="28" t="s">
        <v>20</v>
      </c>
      <c r="U6" s="140" t="s">
        <v>3</v>
      </c>
      <c r="V6" s="11" t="s">
        <v>4</v>
      </c>
      <c r="W6" s="14">
        <f>+COUNTIF(D5:D65,"1")</f>
        <v>3</v>
      </c>
    </row>
    <row r="7" spans="1:23" x14ac:dyDescent="0.25">
      <c r="A7" s="3">
        <v>3</v>
      </c>
      <c r="B7" s="29">
        <v>42937</v>
      </c>
      <c r="C7" s="28" t="s">
        <v>23</v>
      </c>
      <c r="D7" s="28"/>
      <c r="E7" s="28"/>
      <c r="F7" s="28"/>
      <c r="G7" s="28"/>
      <c r="H7" s="28"/>
      <c r="I7" s="28">
        <v>1</v>
      </c>
      <c r="J7" s="33" t="s">
        <v>92</v>
      </c>
      <c r="K7" s="33" t="s">
        <v>92</v>
      </c>
      <c r="L7" s="28" t="s">
        <v>20</v>
      </c>
      <c r="M7" s="28" t="s">
        <v>20</v>
      </c>
      <c r="N7" s="28" t="s">
        <v>20</v>
      </c>
      <c r="O7" s="28" t="s">
        <v>20</v>
      </c>
      <c r="P7" s="28" t="s">
        <v>25</v>
      </c>
      <c r="Q7" s="28" t="s">
        <v>34</v>
      </c>
      <c r="R7" s="28" t="s">
        <v>20</v>
      </c>
      <c r="S7" s="28" t="s">
        <v>20</v>
      </c>
      <c r="U7" s="141"/>
      <c r="V7" s="8" t="s">
        <v>5</v>
      </c>
      <c r="W7" s="15">
        <f>+COUNTIF(E5:E65,"1")</f>
        <v>6</v>
      </c>
    </row>
    <row r="8" spans="1:23" x14ac:dyDescent="0.25">
      <c r="A8" s="3">
        <v>4</v>
      </c>
      <c r="B8" s="29">
        <v>42934</v>
      </c>
      <c r="C8" s="28" t="s">
        <v>23</v>
      </c>
      <c r="D8" s="28"/>
      <c r="E8" s="28"/>
      <c r="F8" s="28"/>
      <c r="G8" s="28"/>
      <c r="H8" s="28">
        <v>1</v>
      </c>
      <c r="I8" s="28"/>
      <c r="J8" s="33" t="s">
        <v>92</v>
      </c>
      <c r="K8" s="33" t="s">
        <v>92</v>
      </c>
      <c r="L8" s="28" t="s">
        <v>25</v>
      </c>
      <c r="M8" s="28" t="s">
        <v>25</v>
      </c>
      <c r="N8" s="28" t="s">
        <v>25</v>
      </c>
      <c r="O8" s="28" t="s">
        <v>25</v>
      </c>
      <c r="P8" s="28" t="s">
        <v>25</v>
      </c>
      <c r="Q8" s="28" t="s">
        <v>34</v>
      </c>
      <c r="R8" s="28" t="s">
        <v>25</v>
      </c>
      <c r="S8" s="28" t="s">
        <v>20</v>
      </c>
      <c r="T8" s="30"/>
      <c r="U8" s="141"/>
      <c r="V8" s="8" t="s">
        <v>6</v>
      </c>
      <c r="W8" s="15">
        <f>+COUNTIF(F5:F41,"1")</f>
        <v>5</v>
      </c>
    </row>
    <row r="9" spans="1:23" x14ac:dyDescent="0.25">
      <c r="A9" s="3">
        <v>5</v>
      </c>
      <c r="B9" s="29">
        <v>42934</v>
      </c>
      <c r="C9" s="28" t="s">
        <v>23</v>
      </c>
      <c r="D9" s="28"/>
      <c r="E9" s="28"/>
      <c r="F9" s="28"/>
      <c r="G9" s="28"/>
      <c r="H9" s="28"/>
      <c r="I9" s="28" t="s">
        <v>29</v>
      </c>
      <c r="J9" s="33" t="s">
        <v>92</v>
      </c>
      <c r="K9" s="33" t="s">
        <v>92</v>
      </c>
      <c r="L9" s="28" t="s">
        <v>20</v>
      </c>
      <c r="M9" s="28" t="s">
        <v>20</v>
      </c>
      <c r="N9" s="28" t="s">
        <v>25</v>
      </c>
      <c r="O9" s="28" t="s">
        <v>20</v>
      </c>
      <c r="P9" s="28" t="s">
        <v>25</v>
      </c>
      <c r="Q9" s="28" t="s">
        <v>28</v>
      </c>
      <c r="R9" s="28" t="s">
        <v>20</v>
      </c>
      <c r="S9" s="28" t="s">
        <v>20</v>
      </c>
      <c r="U9" s="141"/>
      <c r="V9" s="8" t="s">
        <v>7</v>
      </c>
      <c r="W9" s="15">
        <f>+COUNTIF(G5:G65,"1")</f>
        <v>6</v>
      </c>
    </row>
    <row r="10" spans="1:23" x14ac:dyDescent="0.25">
      <c r="A10" s="3">
        <v>6</v>
      </c>
      <c r="B10" s="29">
        <v>42934</v>
      </c>
      <c r="C10" s="28" t="s">
        <v>30</v>
      </c>
      <c r="D10" s="28"/>
      <c r="E10" s="28"/>
      <c r="F10" s="28">
        <v>1</v>
      </c>
      <c r="G10" s="28"/>
      <c r="H10" s="28"/>
      <c r="I10" s="28"/>
      <c r="J10" s="33" t="s">
        <v>92</v>
      </c>
      <c r="K10" s="33" t="s">
        <v>92</v>
      </c>
      <c r="L10" s="28" t="s">
        <v>20</v>
      </c>
      <c r="M10" s="28" t="s">
        <v>20</v>
      </c>
      <c r="N10" s="28" t="s">
        <v>20</v>
      </c>
      <c r="O10" s="28" t="s">
        <v>20</v>
      </c>
      <c r="P10" s="28" t="s">
        <v>20</v>
      </c>
      <c r="Q10" s="28" t="s">
        <v>28</v>
      </c>
      <c r="R10" s="28" t="s">
        <v>20</v>
      </c>
      <c r="S10" s="28" t="s">
        <v>20</v>
      </c>
      <c r="U10" s="141"/>
      <c r="V10" s="8" t="s">
        <v>8</v>
      </c>
      <c r="W10" s="15">
        <f>+COUNTIF(H5:H65,"1")</f>
        <v>6</v>
      </c>
    </row>
    <row r="11" spans="1:23" x14ac:dyDescent="0.25">
      <c r="A11" s="3">
        <v>7</v>
      </c>
      <c r="B11" s="29">
        <v>42934</v>
      </c>
      <c r="C11" s="28" t="s">
        <v>30</v>
      </c>
      <c r="D11" s="28"/>
      <c r="E11" s="28">
        <v>1</v>
      </c>
      <c r="F11" s="28"/>
      <c r="G11" s="28"/>
      <c r="H11" s="28"/>
      <c r="I11" s="28"/>
      <c r="J11" s="33" t="s">
        <v>92</v>
      </c>
      <c r="K11" s="33" t="s">
        <v>92</v>
      </c>
      <c r="L11" s="28" t="s">
        <v>25</v>
      </c>
      <c r="M11" s="28" t="s">
        <v>25</v>
      </c>
      <c r="N11" s="28" t="s">
        <v>25</v>
      </c>
      <c r="O11" s="28" t="s">
        <v>25</v>
      </c>
      <c r="P11" s="28" t="s">
        <v>25</v>
      </c>
      <c r="Q11" s="28" t="s">
        <v>26</v>
      </c>
      <c r="R11" s="28" t="s">
        <v>25</v>
      </c>
      <c r="S11" s="28" t="s">
        <v>20</v>
      </c>
      <c r="U11" s="141"/>
      <c r="V11" s="22" t="s">
        <v>9</v>
      </c>
      <c r="W11" s="23">
        <f>+COUNTIF(I5:I65,"1")</f>
        <v>7</v>
      </c>
    </row>
    <row r="12" spans="1:23" ht="15.75" thickBot="1" x14ac:dyDescent="0.3">
      <c r="A12" s="3">
        <v>8</v>
      </c>
      <c r="B12" s="29">
        <v>42937</v>
      </c>
      <c r="C12" s="28" t="s">
        <v>23</v>
      </c>
      <c r="D12" s="28"/>
      <c r="E12" s="28"/>
      <c r="F12" s="28"/>
      <c r="G12" s="28"/>
      <c r="H12" s="28"/>
      <c r="I12" s="28">
        <v>1</v>
      </c>
      <c r="J12" s="33" t="s">
        <v>92</v>
      </c>
      <c r="K12" s="33" t="s">
        <v>92</v>
      </c>
      <c r="L12" s="28" t="s">
        <v>20</v>
      </c>
      <c r="M12" s="28" t="s">
        <v>20</v>
      </c>
      <c r="N12" s="28" t="s">
        <v>25</v>
      </c>
      <c r="O12" s="28" t="s">
        <v>20</v>
      </c>
      <c r="P12" s="28" t="s">
        <v>25</v>
      </c>
      <c r="Q12" s="28" t="s">
        <v>27</v>
      </c>
      <c r="R12" s="28" t="s">
        <v>20</v>
      </c>
      <c r="S12" s="28" t="s">
        <v>20</v>
      </c>
      <c r="U12" s="141"/>
      <c r="V12" s="34" t="s">
        <v>29</v>
      </c>
      <c r="W12" s="23">
        <f>+COUNTIF(I5:I65,"Blanco")</f>
        <v>2</v>
      </c>
    </row>
    <row r="13" spans="1:23" x14ac:dyDescent="0.25">
      <c r="A13" s="3">
        <v>9</v>
      </c>
      <c r="B13" s="29">
        <v>42937</v>
      </c>
      <c r="C13" s="28" t="s">
        <v>23</v>
      </c>
      <c r="D13" s="28"/>
      <c r="E13" s="28"/>
      <c r="F13" s="28"/>
      <c r="G13" s="28"/>
      <c r="H13" s="28"/>
      <c r="I13" s="28">
        <v>1</v>
      </c>
      <c r="J13" s="33" t="s">
        <v>92</v>
      </c>
      <c r="K13" s="33" t="s">
        <v>92</v>
      </c>
      <c r="L13" s="28" t="s">
        <v>25</v>
      </c>
      <c r="M13" s="28" t="s">
        <v>20</v>
      </c>
      <c r="N13" s="28" t="s">
        <v>20</v>
      </c>
      <c r="O13" s="28" t="s">
        <v>25</v>
      </c>
      <c r="P13" s="28" t="s">
        <v>25</v>
      </c>
      <c r="Q13" s="28" t="s">
        <v>27</v>
      </c>
      <c r="R13" s="28" t="s">
        <v>20</v>
      </c>
      <c r="S13" s="28" t="s">
        <v>20</v>
      </c>
      <c r="U13" s="137" t="s">
        <v>35</v>
      </c>
      <c r="V13" s="19" t="s">
        <v>92</v>
      </c>
      <c r="W13" s="14">
        <f>+COUNTIF(K5:K65,"Comayagua")</f>
        <v>14</v>
      </c>
    </row>
    <row r="14" spans="1:23" x14ac:dyDescent="0.25">
      <c r="A14" s="3">
        <v>10</v>
      </c>
      <c r="B14" s="29">
        <v>42937</v>
      </c>
      <c r="C14" s="28" t="s">
        <v>23</v>
      </c>
      <c r="D14" s="28"/>
      <c r="E14" s="28"/>
      <c r="F14" s="28"/>
      <c r="G14" s="28">
        <v>1</v>
      </c>
      <c r="H14" s="28"/>
      <c r="I14" s="28"/>
      <c r="J14" s="33" t="s">
        <v>92</v>
      </c>
      <c r="K14" s="33" t="s">
        <v>92</v>
      </c>
      <c r="L14" s="28" t="s">
        <v>20</v>
      </c>
      <c r="M14" s="28" t="s">
        <v>25</v>
      </c>
      <c r="N14" s="28" t="s">
        <v>25</v>
      </c>
      <c r="O14" s="28" t="s">
        <v>25</v>
      </c>
      <c r="P14" s="28" t="s">
        <v>25</v>
      </c>
      <c r="Q14" s="28" t="s">
        <v>27</v>
      </c>
      <c r="R14" s="28" t="s">
        <v>25</v>
      </c>
      <c r="S14" s="28" t="s">
        <v>20</v>
      </c>
      <c r="U14" s="109"/>
      <c r="V14" s="6" t="s">
        <v>93</v>
      </c>
      <c r="W14" s="15">
        <f>+COUNTIF(K5:K65,"Lejamani")</f>
        <v>11</v>
      </c>
    </row>
    <row r="15" spans="1:23" x14ac:dyDescent="0.25">
      <c r="A15" s="3">
        <v>11</v>
      </c>
      <c r="B15" s="29">
        <v>42937</v>
      </c>
      <c r="C15" s="28" t="s">
        <v>23</v>
      </c>
      <c r="D15" s="28"/>
      <c r="E15" s="28">
        <v>1</v>
      </c>
      <c r="F15" s="28"/>
      <c r="G15" s="28"/>
      <c r="H15" s="28"/>
      <c r="I15" s="28"/>
      <c r="J15" s="33" t="s">
        <v>92</v>
      </c>
      <c r="K15" s="33" t="s">
        <v>92</v>
      </c>
      <c r="L15" s="28" t="s">
        <v>25</v>
      </c>
      <c r="M15" s="28" t="s">
        <v>25</v>
      </c>
      <c r="N15" s="28" t="s">
        <v>25</v>
      </c>
      <c r="O15" s="28" t="s">
        <v>25</v>
      </c>
      <c r="P15" s="28" t="s">
        <v>25</v>
      </c>
      <c r="Q15" s="28" t="s">
        <v>26</v>
      </c>
      <c r="R15" s="28" t="s">
        <v>25</v>
      </c>
      <c r="S15" s="28" t="s">
        <v>25</v>
      </c>
      <c r="U15" s="109"/>
      <c r="V15" s="35" t="s">
        <v>94</v>
      </c>
      <c r="W15" s="15">
        <f>+COUNTIF(K5:K65,"San Jose")</f>
        <v>10</v>
      </c>
    </row>
    <row r="16" spans="1:23" x14ac:dyDescent="0.25">
      <c r="A16" s="3">
        <v>12</v>
      </c>
      <c r="B16" s="29">
        <v>42937</v>
      </c>
      <c r="C16" s="28" t="s">
        <v>23</v>
      </c>
      <c r="D16" s="28"/>
      <c r="E16" s="28"/>
      <c r="F16" s="28"/>
      <c r="G16" s="28">
        <v>1</v>
      </c>
      <c r="H16" s="28"/>
      <c r="I16" s="28"/>
      <c r="J16" s="33" t="s">
        <v>92</v>
      </c>
      <c r="K16" s="33" t="s">
        <v>92</v>
      </c>
      <c r="L16" s="28" t="s">
        <v>20</v>
      </c>
      <c r="M16" s="28" t="s">
        <v>20</v>
      </c>
      <c r="N16" s="28" t="s">
        <v>20</v>
      </c>
      <c r="O16" s="28" t="s">
        <v>25</v>
      </c>
      <c r="P16" s="28" t="s">
        <v>25</v>
      </c>
      <c r="Q16" s="28" t="s">
        <v>28</v>
      </c>
      <c r="R16" s="28" t="s">
        <v>25</v>
      </c>
      <c r="S16" s="28" t="s">
        <v>25</v>
      </c>
      <c r="U16" s="109"/>
      <c r="V16" s="6"/>
      <c r="W16" s="15"/>
    </row>
    <row r="17" spans="1:50" x14ac:dyDescent="0.25">
      <c r="A17" s="3">
        <v>13</v>
      </c>
      <c r="B17" s="29">
        <v>42937</v>
      </c>
      <c r="C17" s="28" t="s">
        <v>23</v>
      </c>
      <c r="D17" s="28"/>
      <c r="E17" s="28">
        <v>1</v>
      </c>
      <c r="F17" s="28"/>
      <c r="G17" s="28"/>
      <c r="H17" s="28"/>
      <c r="I17" s="28"/>
      <c r="J17" s="33" t="s">
        <v>92</v>
      </c>
      <c r="K17" s="33" t="s">
        <v>92</v>
      </c>
      <c r="L17" s="28" t="s">
        <v>20</v>
      </c>
      <c r="M17" s="28" t="s">
        <v>20</v>
      </c>
      <c r="N17" s="28" t="s">
        <v>25</v>
      </c>
      <c r="O17" s="28" t="s">
        <v>20</v>
      </c>
      <c r="P17" s="28" t="s">
        <v>25</v>
      </c>
      <c r="Q17" s="28" t="s">
        <v>28</v>
      </c>
      <c r="R17" s="28" t="s">
        <v>25</v>
      </c>
      <c r="S17" s="28" t="s">
        <v>20</v>
      </c>
      <c r="U17" s="138"/>
      <c r="V17" s="34"/>
      <c r="W17" s="15"/>
    </row>
    <row r="18" spans="1:50" ht="15.75" thickBot="1" x14ac:dyDescent="0.3">
      <c r="A18" s="3">
        <v>14</v>
      </c>
      <c r="B18" s="29">
        <v>42937</v>
      </c>
      <c r="C18" s="28" t="s">
        <v>23</v>
      </c>
      <c r="D18" s="28"/>
      <c r="E18" s="28"/>
      <c r="F18" s="28"/>
      <c r="G18" s="28">
        <v>1</v>
      </c>
      <c r="H18" s="28"/>
      <c r="I18" s="28"/>
      <c r="J18" s="33" t="s">
        <v>92</v>
      </c>
      <c r="K18" s="33" t="s">
        <v>92</v>
      </c>
      <c r="L18" s="28" t="s">
        <v>20</v>
      </c>
      <c r="M18" s="28" t="s">
        <v>20</v>
      </c>
      <c r="N18" s="28" t="s">
        <v>25</v>
      </c>
      <c r="O18" s="28" t="s">
        <v>25</v>
      </c>
      <c r="P18" s="28" t="s">
        <v>25</v>
      </c>
      <c r="Q18" s="28" t="s">
        <v>28</v>
      </c>
      <c r="R18" s="28" t="s">
        <v>25</v>
      </c>
      <c r="S18" s="28" t="s">
        <v>20</v>
      </c>
      <c r="U18" s="110"/>
      <c r="V18" s="26"/>
      <c r="W18" s="16"/>
    </row>
    <row r="19" spans="1:50" ht="15" customHeight="1" x14ac:dyDescent="0.25">
      <c r="A19" s="3">
        <v>15</v>
      </c>
      <c r="B19" s="29">
        <v>42935</v>
      </c>
      <c r="C19" s="28" t="s">
        <v>23</v>
      </c>
      <c r="D19" s="28"/>
      <c r="E19" s="28"/>
      <c r="F19" s="28">
        <v>1</v>
      </c>
      <c r="G19" s="28"/>
      <c r="H19" s="28"/>
      <c r="I19" s="28"/>
      <c r="J19" s="33" t="s">
        <v>92</v>
      </c>
      <c r="K19" s="33" t="s">
        <v>93</v>
      </c>
      <c r="L19" s="28" t="s">
        <v>25</v>
      </c>
      <c r="M19" s="28" t="s">
        <v>25</v>
      </c>
      <c r="N19" s="28" t="s">
        <v>25</v>
      </c>
      <c r="O19" s="28" t="s">
        <v>25</v>
      </c>
      <c r="P19" s="28" t="s">
        <v>25</v>
      </c>
      <c r="Q19" s="28" t="s">
        <v>27</v>
      </c>
      <c r="R19" s="28" t="s">
        <v>20</v>
      </c>
      <c r="S19" s="28" t="s">
        <v>20</v>
      </c>
      <c r="U19" s="139" t="s">
        <v>36</v>
      </c>
      <c r="V19" s="10" t="s">
        <v>20</v>
      </c>
      <c r="W19" s="25">
        <f>+COUNTIF(L5:L65,"Si")</f>
        <v>18</v>
      </c>
      <c r="X19" s="125" t="s">
        <v>118</v>
      </c>
      <c r="Y19" s="48" t="s">
        <v>114</v>
      </c>
      <c r="Z19" s="49">
        <f>COUNTIFS(C5:$C$65,"M",L5:L65,"Si")</f>
        <v>5</v>
      </c>
      <c r="AA19" s="125" t="s">
        <v>117</v>
      </c>
      <c r="AB19" s="48" t="s">
        <v>114</v>
      </c>
      <c r="AC19" s="55">
        <f>COUNTIFS(C5:$C$65,"M",L5:L65,"No")</f>
        <v>7</v>
      </c>
      <c r="AD19" s="125" t="s">
        <v>118</v>
      </c>
      <c r="AE19" s="48" t="s">
        <v>4</v>
      </c>
      <c r="AF19" s="48">
        <f>COUNTIFS($D$5:$D$65,"1",$L$5:$L$65,"Si")</f>
        <v>2</v>
      </c>
      <c r="AG19" s="48" t="s">
        <v>7</v>
      </c>
      <c r="AH19" s="48">
        <f>COUNTIFS($G$5:$G$65,"1",$L$5:$L$65,"Si")</f>
        <v>3</v>
      </c>
      <c r="AI19" s="48" t="s">
        <v>29</v>
      </c>
      <c r="AJ19" s="49">
        <f>COUNTIFS($I$5:$I$65,"Blanco",$L$5:$L$65,"Si")</f>
        <v>2</v>
      </c>
      <c r="AK19" s="50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x14ac:dyDescent="0.25">
      <c r="A20" s="3">
        <v>16</v>
      </c>
      <c r="B20" s="29">
        <v>42935</v>
      </c>
      <c r="C20" s="28" t="s">
        <v>30</v>
      </c>
      <c r="D20" s="28">
        <v>1</v>
      </c>
      <c r="E20" s="28"/>
      <c r="F20" s="28"/>
      <c r="G20" s="28"/>
      <c r="H20" s="28"/>
      <c r="I20" s="28"/>
      <c r="J20" s="33" t="s">
        <v>92</v>
      </c>
      <c r="K20" s="33" t="s">
        <v>93</v>
      </c>
      <c r="L20" s="28" t="s">
        <v>25</v>
      </c>
      <c r="M20" s="28" t="s">
        <v>25</v>
      </c>
      <c r="N20" s="28" t="s">
        <v>25</v>
      </c>
      <c r="O20" s="28" t="s">
        <v>25</v>
      </c>
      <c r="P20" s="28" t="s">
        <v>25</v>
      </c>
      <c r="Q20" s="28" t="s">
        <v>27</v>
      </c>
      <c r="R20" s="28" t="s">
        <v>20</v>
      </c>
      <c r="S20" s="28" t="s">
        <v>20</v>
      </c>
      <c r="U20" s="109"/>
      <c r="V20" s="9" t="s">
        <v>25</v>
      </c>
      <c r="W20" s="15">
        <f>+COUNTIF(L5:L65,"No")</f>
        <v>17</v>
      </c>
      <c r="X20" s="126"/>
      <c r="Y20" s="6" t="s">
        <v>115</v>
      </c>
      <c r="Z20" s="51">
        <f>COUNTIFS(C5:$C$65,"F",L5:L65,"Si")</f>
        <v>13</v>
      </c>
      <c r="AA20" s="126"/>
      <c r="AB20" s="6" t="s">
        <v>115</v>
      </c>
      <c r="AC20" s="57">
        <f>COUNTIFS(C5:$C$65,"F",L5:L65,"No")</f>
        <v>10</v>
      </c>
      <c r="AD20" s="126"/>
      <c r="AE20" s="6" t="s">
        <v>5</v>
      </c>
      <c r="AF20" s="6">
        <f>COUNTIFS($E$5:$E$65,"1",$L$5:$L$65,"Si")</f>
        <v>1</v>
      </c>
      <c r="AG20" s="39" t="s">
        <v>8</v>
      </c>
      <c r="AH20" s="6">
        <f>COUNTIFS($H$5:$H$65,"1",$L$5:$L$65,"Si")</f>
        <v>3</v>
      </c>
      <c r="AI20" s="6"/>
      <c r="AJ20" s="51"/>
      <c r="AK20" s="50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5.75" thickBot="1" x14ac:dyDescent="0.3">
      <c r="A21" s="3">
        <v>17</v>
      </c>
      <c r="B21" s="29">
        <v>42935</v>
      </c>
      <c r="C21" s="28" t="s">
        <v>23</v>
      </c>
      <c r="D21" s="28"/>
      <c r="E21" s="28"/>
      <c r="F21" s="28"/>
      <c r="G21" s="28"/>
      <c r="H21" s="28"/>
      <c r="I21" s="28">
        <v>1</v>
      </c>
      <c r="J21" s="33" t="s">
        <v>92</v>
      </c>
      <c r="K21" s="33" t="s">
        <v>93</v>
      </c>
      <c r="L21" s="28" t="s">
        <v>25</v>
      </c>
      <c r="M21" s="28" t="s">
        <v>25</v>
      </c>
      <c r="N21" s="28" t="s">
        <v>25</v>
      </c>
      <c r="O21" s="28" t="s">
        <v>25</v>
      </c>
      <c r="P21" s="28" t="s">
        <v>25</v>
      </c>
      <c r="Q21" s="28" t="s">
        <v>27</v>
      </c>
      <c r="R21" s="28" t="s">
        <v>20</v>
      </c>
      <c r="S21" s="28" t="s">
        <v>20</v>
      </c>
      <c r="U21" s="110"/>
      <c r="V21" s="13" t="s">
        <v>29</v>
      </c>
      <c r="W21" s="16">
        <f>+COUNTIF(L5:L65,"Blanco")</f>
        <v>0</v>
      </c>
      <c r="X21" s="127"/>
      <c r="Y21" s="26" t="s">
        <v>29</v>
      </c>
      <c r="Z21" s="52">
        <f>COUNTIFS(C5:$C$65,"Blanco",L5:L65,"Si")</f>
        <v>0</v>
      </c>
      <c r="AA21" s="127"/>
      <c r="AB21" s="26" t="s">
        <v>29</v>
      </c>
      <c r="AC21" s="58">
        <f>COUNTIFS(C5:$C$65,"Blanco",L5:L65,"No")</f>
        <v>0</v>
      </c>
      <c r="AD21" s="127"/>
      <c r="AE21" s="26" t="s">
        <v>6</v>
      </c>
      <c r="AF21" s="26">
        <f>COUNTIFS($F$5:$F$65,"1",$L$5:$L$65,"Si")</f>
        <v>3</v>
      </c>
      <c r="AG21" s="26" t="s">
        <v>9</v>
      </c>
      <c r="AH21" s="26">
        <f>COUNTIFS($I$5:$I$65,"1",$L$5:$L$65,"Si")</f>
        <v>4</v>
      </c>
      <c r="AI21" s="26"/>
      <c r="AJ21" s="52"/>
      <c r="AK21" s="50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x14ac:dyDescent="0.25">
      <c r="A22" s="3">
        <v>18</v>
      </c>
      <c r="B22" s="29">
        <v>42935</v>
      </c>
      <c r="C22" s="28" t="s">
        <v>30</v>
      </c>
      <c r="D22" s="28"/>
      <c r="E22" s="28"/>
      <c r="F22" s="28"/>
      <c r="G22" s="28"/>
      <c r="H22" s="28">
        <v>1</v>
      </c>
      <c r="I22" s="28"/>
      <c r="J22" s="33" t="s">
        <v>92</v>
      </c>
      <c r="K22" s="33" t="s">
        <v>93</v>
      </c>
      <c r="L22" s="28" t="s">
        <v>25</v>
      </c>
      <c r="M22" s="28" t="s">
        <v>25</v>
      </c>
      <c r="N22" s="28" t="s">
        <v>25</v>
      </c>
      <c r="O22" s="28" t="s">
        <v>25</v>
      </c>
      <c r="P22" s="28" t="s">
        <v>25</v>
      </c>
      <c r="Q22" s="28" t="s">
        <v>27</v>
      </c>
      <c r="R22" s="28" t="s">
        <v>20</v>
      </c>
      <c r="S22" s="28" t="s">
        <v>20</v>
      </c>
      <c r="U22" s="137" t="s">
        <v>37</v>
      </c>
      <c r="V22" s="12" t="s">
        <v>20</v>
      </c>
      <c r="W22" s="14">
        <f>+COUNTIF(M5:M65,"Si")</f>
        <v>17</v>
      </c>
      <c r="X22" s="125" t="s">
        <v>118</v>
      </c>
      <c r="Y22" s="48" t="s">
        <v>114</v>
      </c>
      <c r="Z22" s="49">
        <f>COUNTIFS(C5:$C$65,"M",M5:M65,"Si")</f>
        <v>4</v>
      </c>
      <c r="AA22" s="125" t="s">
        <v>117</v>
      </c>
      <c r="AB22" s="48" t="s">
        <v>114</v>
      </c>
      <c r="AC22" s="55">
        <f>COUNTIFS(C5:$C$65,"M",M5:M65,"No")</f>
        <v>8</v>
      </c>
      <c r="AD22" s="132" t="s">
        <v>118</v>
      </c>
      <c r="AE22" s="61" t="s">
        <v>4</v>
      </c>
      <c r="AF22" s="48">
        <f>COUNTIFS($D$5:$D$65,"1",$M$5:$M$65,"Si")</f>
        <v>2</v>
      </c>
      <c r="AG22" s="61" t="s">
        <v>7</v>
      </c>
      <c r="AH22" s="48">
        <f>COUNTIFS($G$5:$G$65,"1",$M$5:$M$65,"Si")</f>
        <v>2</v>
      </c>
      <c r="AI22" s="61" t="s">
        <v>29</v>
      </c>
      <c r="AJ22" s="49">
        <f>COUNTIFS($I$5:$I$65,"Blanco",$M$5:$M$65,"Si")</f>
        <v>2</v>
      </c>
      <c r="AK22" s="50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x14ac:dyDescent="0.25">
      <c r="A23" s="3">
        <v>19</v>
      </c>
      <c r="B23" s="29">
        <v>42935</v>
      </c>
      <c r="C23" s="28" t="s">
        <v>23</v>
      </c>
      <c r="D23" s="28"/>
      <c r="E23" s="28"/>
      <c r="F23" s="28"/>
      <c r="G23" s="28">
        <v>1</v>
      </c>
      <c r="H23" s="28"/>
      <c r="I23" s="28"/>
      <c r="J23" s="33" t="s">
        <v>92</v>
      </c>
      <c r="K23" s="33" t="s">
        <v>93</v>
      </c>
      <c r="L23" s="28" t="s">
        <v>25</v>
      </c>
      <c r="M23" s="28" t="s">
        <v>25</v>
      </c>
      <c r="N23" s="28" t="s">
        <v>25</v>
      </c>
      <c r="O23" s="28" t="s">
        <v>25</v>
      </c>
      <c r="P23" s="28" t="s">
        <v>25</v>
      </c>
      <c r="Q23" s="28" t="s">
        <v>27</v>
      </c>
      <c r="R23" s="28" t="s">
        <v>20</v>
      </c>
      <c r="S23" s="28" t="s">
        <v>20</v>
      </c>
      <c r="U23" s="109"/>
      <c r="V23" s="9" t="s">
        <v>25</v>
      </c>
      <c r="W23" s="15">
        <f>+COUNTIF(M5:M65,"No")</f>
        <v>18</v>
      </c>
      <c r="X23" s="126"/>
      <c r="Y23" s="6" t="s">
        <v>115</v>
      </c>
      <c r="Z23" s="51">
        <f>COUNTIFS(C5:$C$65,"F",M5:M65,"Si")</f>
        <v>13</v>
      </c>
      <c r="AA23" s="126"/>
      <c r="AB23" s="6" t="s">
        <v>115</v>
      </c>
      <c r="AC23" s="57">
        <f>COUNTIFS(C5:$C$65,"F",M5:M65,"No")</f>
        <v>10</v>
      </c>
      <c r="AD23" s="126"/>
      <c r="AE23" s="6" t="s">
        <v>5</v>
      </c>
      <c r="AF23" s="6">
        <f>COUNTIFS($E$5:$E$65,"1",$M$5:$M$65,"Si")</f>
        <v>1</v>
      </c>
      <c r="AG23" s="39" t="s">
        <v>8</v>
      </c>
      <c r="AH23" s="6">
        <f>COUNTIFS($H$5:$H$65,"1",$M$5:$M$65,"Si")</f>
        <v>2</v>
      </c>
      <c r="AI23" s="6"/>
      <c r="AJ23" s="51"/>
      <c r="AK23" s="50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5.75" thickBot="1" x14ac:dyDescent="0.3">
      <c r="A24" s="3">
        <v>20</v>
      </c>
      <c r="B24" s="29">
        <v>42935</v>
      </c>
      <c r="C24" s="28" t="s">
        <v>23</v>
      </c>
      <c r="D24" s="28"/>
      <c r="E24" s="28"/>
      <c r="F24" s="28"/>
      <c r="G24" s="28"/>
      <c r="H24" s="28"/>
      <c r="I24" s="28">
        <v>1</v>
      </c>
      <c r="J24" s="33" t="s">
        <v>92</v>
      </c>
      <c r="K24" s="33" t="s">
        <v>93</v>
      </c>
      <c r="L24" s="28" t="s">
        <v>20</v>
      </c>
      <c r="M24" s="28" t="s">
        <v>20</v>
      </c>
      <c r="N24" s="28" t="s">
        <v>20</v>
      </c>
      <c r="O24" s="28" t="s">
        <v>25</v>
      </c>
      <c r="P24" s="28" t="s">
        <v>25</v>
      </c>
      <c r="Q24" s="28" t="s">
        <v>26</v>
      </c>
      <c r="R24" s="28" t="s">
        <v>25</v>
      </c>
      <c r="S24" s="28" t="s">
        <v>20</v>
      </c>
      <c r="U24" s="110"/>
      <c r="V24" s="13" t="s">
        <v>29</v>
      </c>
      <c r="W24" s="16">
        <f>+COUNTIF(M5:M65,"Blanco")</f>
        <v>0</v>
      </c>
      <c r="X24" s="127"/>
      <c r="Y24" s="26" t="s">
        <v>29</v>
      </c>
      <c r="Z24" s="52">
        <f>COUNTIFS(C5:$C$65,"Blanco",M5:M65,"Si")</f>
        <v>0</v>
      </c>
      <c r="AA24" s="127"/>
      <c r="AB24" s="26" t="s">
        <v>29</v>
      </c>
      <c r="AC24" s="58">
        <f>COUNTIFS(C5:$C$65,"Blanco",M5:M65,"No")</f>
        <v>0</v>
      </c>
      <c r="AD24" s="127"/>
      <c r="AE24" s="26" t="s">
        <v>6</v>
      </c>
      <c r="AF24" s="26">
        <f>COUNTIFS($F$5:$F$65,"1",$M$5:$M$65,"Si")</f>
        <v>3</v>
      </c>
      <c r="AG24" s="26" t="s">
        <v>9</v>
      </c>
      <c r="AH24" s="26">
        <f>COUNTIFS($I$5:$I$65,"1",$M$5:$M$65,"Si")</f>
        <v>5</v>
      </c>
      <c r="AI24" s="26"/>
      <c r="AJ24" s="52"/>
      <c r="AK24" s="50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x14ac:dyDescent="0.25">
      <c r="A25" s="3">
        <v>21</v>
      </c>
      <c r="B25" s="29">
        <v>42935</v>
      </c>
      <c r="C25" s="28" t="s">
        <v>30</v>
      </c>
      <c r="D25" s="28"/>
      <c r="E25" s="28"/>
      <c r="F25" s="28"/>
      <c r="G25" s="28"/>
      <c r="H25" s="28"/>
      <c r="I25" s="28">
        <v>1</v>
      </c>
      <c r="J25" s="33" t="s">
        <v>92</v>
      </c>
      <c r="K25" s="33" t="s">
        <v>93</v>
      </c>
      <c r="L25" s="28" t="s">
        <v>20</v>
      </c>
      <c r="M25" s="28" t="s">
        <v>20</v>
      </c>
      <c r="N25" s="28" t="s">
        <v>25</v>
      </c>
      <c r="O25" s="28" t="s">
        <v>25</v>
      </c>
      <c r="P25" s="28" t="s">
        <v>25</v>
      </c>
      <c r="Q25" s="28" t="s">
        <v>28</v>
      </c>
      <c r="R25" s="28" t="s">
        <v>25</v>
      </c>
      <c r="S25" s="28" t="s">
        <v>20</v>
      </c>
      <c r="U25" s="137" t="s">
        <v>38</v>
      </c>
      <c r="V25" s="12" t="s">
        <v>20</v>
      </c>
      <c r="W25" s="14">
        <f>+COUNTIF(N5:N65,"Si")</f>
        <v>9</v>
      </c>
      <c r="X25" s="125" t="s">
        <v>118</v>
      </c>
      <c r="Y25" s="48" t="s">
        <v>114</v>
      </c>
      <c r="Z25" s="49">
        <f>COUNTIFS($C$5:$C$65,"M",$N$5:$N$65,"Si")</f>
        <v>2</v>
      </c>
      <c r="AA25" s="125" t="s">
        <v>117</v>
      </c>
      <c r="AB25" s="48" t="s">
        <v>114</v>
      </c>
      <c r="AC25" s="55">
        <f>COUNTIFS($C$5:$C$65,"M",$N$5:$N$65,"No")</f>
        <v>10</v>
      </c>
      <c r="AD25" s="125" t="s">
        <v>117</v>
      </c>
      <c r="AE25" s="48" t="s">
        <v>4</v>
      </c>
      <c r="AF25" s="48">
        <f>COUNTIFS($D$5:$D$65,"1",$N$5:$N$65,"No")</f>
        <v>2</v>
      </c>
      <c r="AG25" s="48" t="s">
        <v>7</v>
      </c>
      <c r="AH25" s="48">
        <f>COUNTIFS($G$5:$G$65,"1",$N$5:$N$65,"No")</f>
        <v>5</v>
      </c>
      <c r="AI25" s="48" t="s">
        <v>29</v>
      </c>
      <c r="AJ25" s="49">
        <f>COUNTIFS($I$5:$I$65,"Blanco",$N$5:$N$65,"No")</f>
        <v>1</v>
      </c>
      <c r="AK25" s="50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x14ac:dyDescent="0.25">
      <c r="A26" s="3">
        <v>22</v>
      </c>
      <c r="B26" s="29">
        <v>42935</v>
      </c>
      <c r="C26" s="28" t="s">
        <v>30</v>
      </c>
      <c r="D26" s="28"/>
      <c r="E26" s="28"/>
      <c r="F26" s="28"/>
      <c r="G26" s="28"/>
      <c r="H26" s="28">
        <v>1</v>
      </c>
      <c r="I26" s="28"/>
      <c r="J26" s="33" t="s">
        <v>92</v>
      </c>
      <c r="K26" s="33" t="s">
        <v>93</v>
      </c>
      <c r="L26" s="28" t="s">
        <v>20</v>
      </c>
      <c r="M26" s="28" t="s">
        <v>25</v>
      </c>
      <c r="N26" s="28" t="s">
        <v>25</v>
      </c>
      <c r="O26" s="28" t="s">
        <v>25</v>
      </c>
      <c r="P26" s="28" t="s">
        <v>25</v>
      </c>
      <c r="Q26" s="28" t="s">
        <v>28</v>
      </c>
      <c r="R26" s="28" t="s">
        <v>25</v>
      </c>
      <c r="S26" s="28" t="s">
        <v>25</v>
      </c>
      <c r="U26" s="109"/>
      <c r="V26" s="9" t="s">
        <v>25</v>
      </c>
      <c r="W26" s="15">
        <f>+COUNTIF(N5:N65,"No")</f>
        <v>26</v>
      </c>
      <c r="X26" s="126"/>
      <c r="Y26" s="6" t="s">
        <v>115</v>
      </c>
      <c r="Z26" s="51">
        <f>COUNTIFS($C$5:$C$65,"F",$N$5:$N$65,"Si")</f>
        <v>7</v>
      </c>
      <c r="AA26" s="126"/>
      <c r="AB26" s="6" t="s">
        <v>115</v>
      </c>
      <c r="AC26" s="57">
        <f>COUNTIFS($C$5:$C$65,"F",$N$5:$N$65,"No")</f>
        <v>16</v>
      </c>
      <c r="AD26" s="126"/>
      <c r="AE26" s="6" t="s">
        <v>5</v>
      </c>
      <c r="AF26" s="6">
        <f>COUNTIFS($E$5:$E$65,"1",$N$5:$N$65,"No")</f>
        <v>6</v>
      </c>
      <c r="AG26" s="39" t="s">
        <v>8</v>
      </c>
      <c r="AH26" s="6">
        <f>COUNTIFS($H$5:$H$65,"1",$N$5:$N$65,"No")</f>
        <v>4</v>
      </c>
      <c r="AI26" s="6"/>
      <c r="AJ26" s="51"/>
      <c r="AK26" s="50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5.75" thickBot="1" x14ac:dyDescent="0.3">
      <c r="A27" s="3">
        <v>23</v>
      </c>
      <c r="B27" s="29">
        <v>42935</v>
      </c>
      <c r="C27" s="28" t="s">
        <v>30</v>
      </c>
      <c r="D27" s="28"/>
      <c r="E27" s="28">
        <v>1</v>
      </c>
      <c r="F27" s="28"/>
      <c r="G27" s="28"/>
      <c r="H27" s="28"/>
      <c r="I27" s="28"/>
      <c r="J27" s="33" t="s">
        <v>92</v>
      </c>
      <c r="K27" s="33" t="s">
        <v>93</v>
      </c>
      <c r="L27" s="28" t="s">
        <v>25</v>
      </c>
      <c r="M27" s="28" t="s">
        <v>25</v>
      </c>
      <c r="N27" s="28" t="s">
        <v>25</v>
      </c>
      <c r="O27" s="28" t="s">
        <v>25</v>
      </c>
      <c r="P27" s="28" t="s">
        <v>25</v>
      </c>
      <c r="Q27" s="28" t="s">
        <v>34</v>
      </c>
      <c r="R27" s="28" t="s">
        <v>25</v>
      </c>
      <c r="S27" s="28" t="s">
        <v>25</v>
      </c>
      <c r="U27" s="110"/>
      <c r="V27" s="13" t="s">
        <v>29</v>
      </c>
      <c r="W27" s="16">
        <f>+COUNTIF(N5:N65,"Blanco")</f>
        <v>0</v>
      </c>
      <c r="X27" s="127"/>
      <c r="Y27" s="26" t="s">
        <v>29</v>
      </c>
      <c r="Z27" s="52">
        <f>COUNTIFS($C$5:$C$65,"Blanco",$N$5:N65,"Si")</f>
        <v>0</v>
      </c>
      <c r="AA27" s="127"/>
      <c r="AB27" s="26" t="s">
        <v>29</v>
      </c>
      <c r="AC27" s="58">
        <f>COUNTIFS($C$5:$C$65,"Blanco",$N$5:N65,"No")</f>
        <v>0</v>
      </c>
      <c r="AD27" s="127"/>
      <c r="AE27" s="26" t="s">
        <v>6</v>
      </c>
      <c r="AF27" s="26">
        <f>COUNTIFS($F$5:$F$65,"1",$N$5:$N$65,"No")</f>
        <v>4</v>
      </c>
      <c r="AG27" s="26" t="s">
        <v>9</v>
      </c>
      <c r="AH27" s="26">
        <f>COUNTIFS($I$5:$I$65,"1",$N$5:$N$65,"No")</f>
        <v>4</v>
      </c>
      <c r="AI27" s="26"/>
      <c r="AJ27" s="52"/>
      <c r="AK27" s="50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x14ac:dyDescent="0.25">
      <c r="A28" s="3">
        <v>24</v>
      </c>
      <c r="B28" s="29">
        <v>42935</v>
      </c>
      <c r="C28" s="28" t="s">
        <v>23</v>
      </c>
      <c r="D28" s="28"/>
      <c r="E28" s="28"/>
      <c r="F28" s="28">
        <v>1</v>
      </c>
      <c r="G28" s="28"/>
      <c r="H28" s="28"/>
      <c r="I28" s="28"/>
      <c r="J28" s="33" t="s">
        <v>92</v>
      </c>
      <c r="K28" s="33" t="s">
        <v>93</v>
      </c>
      <c r="L28" s="28" t="s">
        <v>20</v>
      </c>
      <c r="M28" s="28" t="s">
        <v>20</v>
      </c>
      <c r="N28" s="28" t="s">
        <v>25</v>
      </c>
      <c r="O28" s="28" t="s">
        <v>25</v>
      </c>
      <c r="P28" s="28" t="s">
        <v>25</v>
      </c>
      <c r="Q28" s="28" t="s">
        <v>26</v>
      </c>
      <c r="R28" s="28" t="s">
        <v>25</v>
      </c>
      <c r="S28" s="28" t="s">
        <v>20</v>
      </c>
      <c r="U28" s="137" t="s">
        <v>39</v>
      </c>
      <c r="V28" s="12" t="s">
        <v>20</v>
      </c>
      <c r="W28" s="14">
        <f>+COUNTIF(O5:O65,"Si")</f>
        <v>8</v>
      </c>
      <c r="X28" s="125" t="s">
        <v>118</v>
      </c>
      <c r="Y28" s="48" t="s">
        <v>114</v>
      </c>
      <c r="Z28" s="49">
        <f>COUNTIFS($C$5:$C$65,"M",$O$5:O65,"Si")</f>
        <v>2</v>
      </c>
      <c r="AA28" s="128" t="s">
        <v>117</v>
      </c>
      <c r="AB28" s="19" t="s">
        <v>114</v>
      </c>
      <c r="AC28" s="65">
        <f>COUNTIFS($C$5:$C$65,"M",$O$5:O65,"No")</f>
        <v>10</v>
      </c>
      <c r="AD28" s="128" t="s">
        <v>117</v>
      </c>
      <c r="AE28" s="19" t="s">
        <v>4</v>
      </c>
      <c r="AF28" s="19">
        <f>COUNTIFS($D$5:$D$65,"1",$O$5:$O$65,"No")</f>
        <v>2</v>
      </c>
      <c r="AG28" s="19" t="s">
        <v>7</v>
      </c>
      <c r="AH28" s="19">
        <f>COUNTIFS($G$5:$G$65,"1",$O$5:$O$65,"No")</f>
        <v>6</v>
      </c>
      <c r="AI28" s="19" t="s">
        <v>29</v>
      </c>
      <c r="AJ28" s="66">
        <f>COUNTIFS($I$5:$I$65,"Blanco",$O$5:$O$65,"No")</f>
        <v>0</v>
      </c>
      <c r="AK28" s="50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x14ac:dyDescent="0.25">
      <c r="A29" s="3">
        <v>25</v>
      </c>
      <c r="B29" s="29">
        <v>42937</v>
      </c>
      <c r="C29" s="28" t="s">
        <v>23</v>
      </c>
      <c r="D29" s="28">
        <v>1</v>
      </c>
      <c r="E29" s="28"/>
      <c r="F29" s="28"/>
      <c r="G29" s="28"/>
      <c r="H29" s="28"/>
      <c r="I29" s="28"/>
      <c r="J29" s="33" t="s">
        <v>92</v>
      </c>
      <c r="K29" s="33" t="s">
        <v>93</v>
      </c>
      <c r="L29" s="28" t="s">
        <v>20</v>
      </c>
      <c r="M29" s="28" t="s">
        <v>20</v>
      </c>
      <c r="N29" s="28" t="s">
        <v>25</v>
      </c>
      <c r="O29" s="28" t="s">
        <v>25</v>
      </c>
      <c r="P29" s="28" t="s">
        <v>25</v>
      </c>
      <c r="Q29" s="28" t="s">
        <v>27</v>
      </c>
      <c r="R29" s="28" t="s">
        <v>20</v>
      </c>
      <c r="S29" s="28" t="s">
        <v>25</v>
      </c>
      <c r="U29" s="109"/>
      <c r="V29" s="9" t="s">
        <v>25</v>
      </c>
      <c r="W29" s="15">
        <f>+COUNTIF(O5:O65,"No")</f>
        <v>27</v>
      </c>
      <c r="X29" s="126"/>
      <c r="Y29" s="6" t="s">
        <v>115</v>
      </c>
      <c r="Z29" s="51">
        <f>COUNTIFS(C5:$C$65,"F",O5:O65,"Si")</f>
        <v>6</v>
      </c>
      <c r="AA29" s="129"/>
      <c r="AB29" s="35" t="s">
        <v>115</v>
      </c>
      <c r="AC29" s="67">
        <f>COUNTIFS(C5:$C$65,"F",O5:O65,"No")</f>
        <v>17</v>
      </c>
      <c r="AD29" s="129"/>
      <c r="AE29" s="35" t="s">
        <v>5</v>
      </c>
      <c r="AF29" s="35">
        <f>COUNTIFS($E$5:$E$65,"1",$O$5:$O$65,"No")</f>
        <v>5</v>
      </c>
      <c r="AG29" s="9" t="s">
        <v>8</v>
      </c>
      <c r="AH29" s="35">
        <f>COUNTIFS($H$5:$H$65,"1",$O$5:$O$65,"No")</f>
        <v>5</v>
      </c>
      <c r="AI29" s="35"/>
      <c r="AJ29" s="68"/>
      <c r="AK29" s="50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5.75" thickBot="1" x14ac:dyDescent="0.3">
      <c r="A30" s="3">
        <v>26</v>
      </c>
      <c r="B30" s="29">
        <v>42935</v>
      </c>
      <c r="C30" s="28" t="s">
        <v>23</v>
      </c>
      <c r="D30" s="28"/>
      <c r="E30" s="28"/>
      <c r="F30" s="28"/>
      <c r="G30" s="28">
        <v>1</v>
      </c>
      <c r="H30" s="28"/>
      <c r="I30" s="28"/>
      <c r="J30" s="33" t="s">
        <v>92</v>
      </c>
      <c r="K30" s="6" t="s">
        <v>94</v>
      </c>
      <c r="L30" s="28" t="s">
        <v>25</v>
      </c>
      <c r="M30" s="28" t="s">
        <v>25</v>
      </c>
      <c r="N30" s="28" t="s">
        <v>25</v>
      </c>
      <c r="O30" s="28" t="s">
        <v>25</v>
      </c>
      <c r="P30" s="28" t="s">
        <v>25</v>
      </c>
      <c r="Q30" s="28" t="s">
        <v>27</v>
      </c>
      <c r="R30" s="28" t="s">
        <v>20</v>
      </c>
      <c r="S30" s="28" t="s">
        <v>20</v>
      </c>
      <c r="U30" s="110"/>
      <c r="V30" s="13" t="s">
        <v>29</v>
      </c>
      <c r="W30" s="16">
        <f>+COUNTIF(O5:O65,"Blanco")</f>
        <v>0</v>
      </c>
      <c r="X30" s="127"/>
      <c r="Y30" s="26" t="s">
        <v>29</v>
      </c>
      <c r="Z30" s="52">
        <f>COUNTIFS(C5:$C$65,"Blanco",O5:O65,"Si")</f>
        <v>0</v>
      </c>
      <c r="AA30" s="130"/>
      <c r="AB30" s="27" t="s">
        <v>29</v>
      </c>
      <c r="AC30" s="69">
        <f>COUNTIFS(C5:$C$65,"Blanco",O5:O65,"No")</f>
        <v>0</v>
      </c>
      <c r="AD30" s="130"/>
      <c r="AE30" s="27" t="s">
        <v>6</v>
      </c>
      <c r="AF30" s="27">
        <f>COUNTIFS($F$5:$F$65,"1",$O$5:$O$65,"No")</f>
        <v>4</v>
      </c>
      <c r="AG30" s="27" t="s">
        <v>9</v>
      </c>
      <c r="AH30" s="27">
        <f>COUNTIFS($I$5:$I$65,"1",$O$5:$O$65,"No")</f>
        <v>5</v>
      </c>
      <c r="AI30" s="27"/>
      <c r="AJ30" s="70"/>
      <c r="AK30" s="50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x14ac:dyDescent="0.25">
      <c r="A31" s="3">
        <v>27</v>
      </c>
      <c r="B31" s="29">
        <v>42935</v>
      </c>
      <c r="C31" s="28" t="s">
        <v>30</v>
      </c>
      <c r="D31" s="28"/>
      <c r="E31" s="28"/>
      <c r="F31" s="28"/>
      <c r="G31" s="28"/>
      <c r="H31" s="28"/>
      <c r="I31" s="28">
        <v>1</v>
      </c>
      <c r="J31" s="33" t="s">
        <v>92</v>
      </c>
      <c r="K31" s="6" t="s">
        <v>94</v>
      </c>
      <c r="L31" s="28" t="s">
        <v>25</v>
      </c>
      <c r="M31" s="28" t="s">
        <v>25</v>
      </c>
      <c r="N31" s="28" t="s">
        <v>25</v>
      </c>
      <c r="O31" s="28" t="s">
        <v>25</v>
      </c>
      <c r="P31" s="28" t="s">
        <v>25</v>
      </c>
      <c r="Q31" s="28" t="s">
        <v>27</v>
      </c>
      <c r="R31" s="28" t="s">
        <v>20</v>
      </c>
      <c r="S31" s="28" t="s">
        <v>20</v>
      </c>
      <c r="U31" s="137" t="s">
        <v>40</v>
      </c>
      <c r="V31" s="12" t="s">
        <v>20</v>
      </c>
      <c r="W31" s="14">
        <f>+COUNTIF(P5:P65,"Si")</f>
        <v>2</v>
      </c>
      <c r="X31" s="125" t="s">
        <v>118</v>
      </c>
      <c r="Y31" s="48" t="s">
        <v>114</v>
      </c>
      <c r="Z31" s="49">
        <f>COUNTIFS(C5:$C$65,"M",P5:P65,"Si")</f>
        <v>1</v>
      </c>
      <c r="AA31" s="128" t="s">
        <v>117</v>
      </c>
      <c r="AB31" s="19" t="s">
        <v>114</v>
      </c>
      <c r="AC31" s="65">
        <f>COUNTIFS(C5:$C$65,"M",P5:P65,"No")</f>
        <v>11</v>
      </c>
      <c r="AD31" s="128" t="s">
        <v>117</v>
      </c>
      <c r="AE31" s="19" t="s">
        <v>4</v>
      </c>
      <c r="AF31" s="19">
        <f>COUNTIFS($D$5:$D$65,"1",$P$5:$P$65,"No")</f>
        <v>3</v>
      </c>
      <c r="AG31" s="19" t="s">
        <v>7</v>
      </c>
      <c r="AH31" s="19">
        <f>COUNTIFS($G$5:$G$65,"1",$P$5:$P$65,"No")</f>
        <v>6</v>
      </c>
      <c r="AI31" s="19" t="s">
        <v>29</v>
      </c>
      <c r="AJ31" s="66">
        <f>COUNTIFS($I$5:$I$65,"Blanco",$P$5:$P$65,"No")</f>
        <v>2</v>
      </c>
      <c r="AK31" s="50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x14ac:dyDescent="0.25">
      <c r="A32" s="3">
        <v>28</v>
      </c>
      <c r="B32" s="29">
        <v>42935</v>
      </c>
      <c r="C32" s="28" t="s">
        <v>23</v>
      </c>
      <c r="D32" s="28"/>
      <c r="E32" s="28"/>
      <c r="F32" s="28"/>
      <c r="G32" s="28"/>
      <c r="H32" s="28">
        <v>1</v>
      </c>
      <c r="I32" s="28"/>
      <c r="J32" s="33" t="s">
        <v>92</v>
      </c>
      <c r="K32" s="6" t="s">
        <v>94</v>
      </c>
      <c r="L32" s="28" t="s">
        <v>25</v>
      </c>
      <c r="M32" s="28" t="s">
        <v>25</v>
      </c>
      <c r="N32" s="28" t="s">
        <v>25</v>
      </c>
      <c r="O32" s="28" t="s">
        <v>25</v>
      </c>
      <c r="P32" s="28" t="s">
        <v>25</v>
      </c>
      <c r="Q32" s="28" t="s">
        <v>26</v>
      </c>
      <c r="R32" s="28" t="s">
        <v>25</v>
      </c>
      <c r="S32" s="28" t="s">
        <v>25</v>
      </c>
      <c r="U32" s="109"/>
      <c r="V32" s="9" t="s">
        <v>25</v>
      </c>
      <c r="W32" s="15">
        <f>+COUNTIF(P5:P65,"No")</f>
        <v>33</v>
      </c>
      <c r="X32" s="126"/>
      <c r="Y32" s="6" t="s">
        <v>115</v>
      </c>
      <c r="Z32" s="51">
        <f>COUNTIFS(C5:$C$65,"F",P5:P65,"Si")</f>
        <v>1</v>
      </c>
      <c r="AA32" s="129"/>
      <c r="AB32" s="35" t="s">
        <v>115</v>
      </c>
      <c r="AC32" s="67">
        <f>COUNTIFS(C5:$C$65,"F",P5:P65,"NO")</f>
        <v>22</v>
      </c>
      <c r="AD32" s="129"/>
      <c r="AE32" s="35" t="s">
        <v>5</v>
      </c>
      <c r="AF32" s="35">
        <f>COUNTIFS($E$5:$E$65,"1",$P$5:$P$65,"No")</f>
        <v>6</v>
      </c>
      <c r="AG32" s="9" t="s">
        <v>8</v>
      </c>
      <c r="AH32" s="35">
        <f>COUNTIFS($H$5:$H$65,"1",$P$5:$P$65,"No")</f>
        <v>5</v>
      </c>
      <c r="AI32" s="35"/>
      <c r="AJ32" s="68"/>
      <c r="AK32" s="50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5.75" thickBot="1" x14ac:dyDescent="0.3">
      <c r="A33" s="3">
        <v>29</v>
      </c>
      <c r="B33" s="29">
        <v>42935</v>
      </c>
      <c r="C33" s="28" t="s">
        <v>23</v>
      </c>
      <c r="D33" s="28">
        <v>1</v>
      </c>
      <c r="E33" s="28"/>
      <c r="F33" s="28"/>
      <c r="G33" s="28"/>
      <c r="H33" s="28"/>
      <c r="I33" s="28"/>
      <c r="J33" s="33" t="s">
        <v>92</v>
      </c>
      <c r="K33" s="6" t="s">
        <v>94</v>
      </c>
      <c r="L33" s="28" t="s">
        <v>20</v>
      </c>
      <c r="M33" s="28" t="s">
        <v>20</v>
      </c>
      <c r="N33" s="28" t="s">
        <v>20</v>
      </c>
      <c r="O33" s="28" t="s">
        <v>20</v>
      </c>
      <c r="P33" s="28" t="s">
        <v>25</v>
      </c>
      <c r="Q33" s="28" t="s">
        <v>28</v>
      </c>
      <c r="R33" s="28" t="s">
        <v>25</v>
      </c>
      <c r="S33" s="28" t="s">
        <v>20</v>
      </c>
      <c r="U33" s="110"/>
      <c r="V33" s="13" t="s">
        <v>29</v>
      </c>
      <c r="W33" s="16">
        <f>+COUNTIF(P5:P65,"Blanco")</f>
        <v>0</v>
      </c>
      <c r="X33" s="154"/>
      <c r="Y33" s="34" t="s">
        <v>29</v>
      </c>
      <c r="Z33" s="53">
        <f>COUNTIFS(C5:$C$65,"Blanco",P4:P64,"Si")</f>
        <v>0</v>
      </c>
      <c r="AA33" s="153"/>
      <c r="AB33" s="71" t="s">
        <v>29</v>
      </c>
      <c r="AC33" s="72">
        <f>COUNTIFS(C5:$C$65,"Blanco",P5:P65,"No")</f>
        <v>0</v>
      </c>
      <c r="AD33" s="130"/>
      <c r="AE33" s="27" t="s">
        <v>6</v>
      </c>
      <c r="AF33" s="27">
        <f>COUNTIFS($F$5:$F$65,"1",$P$5:$P$65,"No")</f>
        <v>4</v>
      </c>
      <c r="AG33" s="71" t="s">
        <v>9</v>
      </c>
      <c r="AH33" s="71">
        <f>COUNTIFS($I$5:$I$65,"1",$P$5:$P$65,"No")</f>
        <v>7</v>
      </c>
      <c r="AI33" s="71"/>
      <c r="AJ33" s="73"/>
      <c r="AK33" s="5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</row>
    <row r="34" spans="1:50" x14ac:dyDescent="0.25">
      <c r="A34" s="3">
        <v>30</v>
      </c>
      <c r="B34" s="29">
        <v>42935</v>
      </c>
      <c r="C34" s="28" t="s">
        <v>23</v>
      </c>
      <c r="D34" s="28"/>
      <c r="E34" s="28"/>
      <c r="F34" s="28"/>
      <c r="G34" s="28"/>
      <c r="H34" s="28">
        <v>1</v>
      </c>
      <c r="I34" s="28"/>
      <c r="J34" s="33" t="s">
        <v>92</v>
      </c>
      <c r="K34" s="6" t="s">
        <v>94</v>
      </c>
      <c r="L34" s="28" t="s">
        <v>20</v>
      </c>
      <c r="M34" s="28" t="s">
        <v>20</v>
      </c>
      <c r="N34" s="28" t="s">
        <v>20</v>
      </c>
      <c r="O34" s="28" t="s">
        <v>25</v>
      </c>
      <c r="P34" s="28" t="s">
        <v>25</v>
      </c>
      <c r="Q34" s="28" t="s">
        <v>28</v>
      </c>
      <c r="R34" s="28" t="s">
        <v>25</v>
      </c>
      <c r="S34" s="28" t="s">
        <v>20</v>
      </c>
      <c r="U34" s="137" t="s">
        <v>41</v>
      </c>
      <c r="V34" s="12" t="s">
        <v>27</v>
      </c>
      <c r="W34" s="14">
        <f>+COUNTIF(Q5:Q65,"Elevada")</f>
        <v>14</v>
      </c>
      <c r="X34" s="125" t="s">
        <v>116</v>
      </c>
      <c r="Y34" s="48" t="s">
        <v>114</v>
      </c>
      <c r="Z34" s="49">
        <f>COUNTIFS(C5:$C$65,"M",Q5:Q65,"Elevada")</f>
        <v>5</v>
      </c>
      <c r="AA34" s="125" t="s">
        <v>119</v>
      </c>
      <c r="AB34" s="48" t="s">
        <v>114</v>
      </c>
      <c r="AC34" s="49">
        <f>COUNTIFS(C5:$C$65,"M",Q5:Q65,"Alguna")</f>
        <v>3</v>
      </c>
      <c r="AD34" s="125" t="s">
        <v>120</v>
      </c>
      <c r="AE34" s="48" t="s">
        <v>114</v>
      </c>
      <c r="AF34" s="49">
        <f>COUNTIFS(C5:$C$65,"M",Q5:Q65,"Poca")</f>
        <v>2</v>
      </c>
      <c r="AG34" s="125" t="s">
        <v>121</v>
      </c>
      <c r="AH34" s="48" t="s">
        <v>114</v>
      </c>
      <c r="AI34" s="55">
        <f>COUNTIFS(C5:$C$65,"M",Q5:Q65,"ninguna")</f>
        <v>2</v>
      </c>
      <c r="AJ34" s="55"/>
      <c r="AK34" s="125" t="s">
        <v>122</v>
      </c>
      <c r="AL34" s="56" t="s">
        <v>4</v>
      </c>
      <c r="AM34" s="48">
        <f>COUNTIFS(D5:$D$65,"1",$Q$5:$Q$65,"Elevada")</f>
        <v>2</v>
      </c>
      <c r="AN34" s="48" t="s">
        <v>7</v>
      </c>
      <c r="AO34" s="48">
        <f>COUNTIFS(G5:$G$65,"1",$Q$5:$Q$65,"Elevada")</f>
        <v>3</v>
      </c>
      <c r="AP34" s="48" t="s">
        <v>29</v>
      </c>
      <c r="AQ34" s="49">
        <f>COUNTIFS(I5:$I$65,"Blanco",$Q$5:$Q$65,"Elevada")</f>
        <v>0</v>
      </c>
      <c r="AR34" s="125" t="s">
        <v>119</v>
      </c>
      <c r="AS34" s="48" t="s">
        <v>4</v>
      </c>
      <c r="AT34" s="48">
        <f>COUNTIFS(D5:$D$65,"1",$Q$5:$Q$65,"Alguna")</f>
        <v>1</v>
      </c>
      <c r="AU34" s="48" t="s">
        <v>7</v>
      </c>
      <c r="AV34" s="48">
        <f>COUNTIFS(G5:$G$65,"1",$Q$5:$Q$65,"Alguna")</f>
        <v>2</v>
      </c>
      <c r="AW34" s="48" t="s">
        <v>29</v>
      </c>
      <c r="AX34" s="49">
        <f>COUNTIFS(I5:$I$65,"Blanco",$Q$5:$Q$65,"Alguna")</f>
        <v>1</v>
      </c>
    </row>
    <row r="35" spans="1:50" x14ac:dyDescent="0.25">
      <c r="A35" s="3">
        <v>31</v>
      </c>
      <c r="B35" s="29">
        <v>42935</v>
      </c>
      <c r="C35" s="28" t="s">
        <v>23</v>
      </c>
      <c r="D35" s="28"/>
      <c r="E35" s="28"/>
      <c r="F35" s="28"/>
      <c r="G35" s="28">
        <v>1</v>
      </c>
      <c r="H35" s="28"/>
      <c r="I35" s="28"/>
      <c r="J35" s="33" t="s">
        <v>92</v>
      </c>
      <c r="K35" s="6" t="s">
        <v>94</v>
      </c>
      <c r="L35" s="28" t="s">
        <v>25</v>
      </c>
      <c r="M35" s="28" t="s">
        <v>25</v>
      </c>
      <c r="N35" s="28" t="s">
        <v>25</v>
      </c>
      <c r="O35" s="28" t="s">
        <v>25</v>
      </c>
      <c r="P35" s="28" t="s">
        <v>25</v>
      </c>
      <c r="Q35" s="28" t="s">
        <v>26</v>
      </c>
      <c r="R35" s="28" t="s">
        <v>25</v>
      </c>
      <c r="S35" s="28" t="s">
        <v>25</v>
      </c>
      <c r="U35" s="109"/>
      <c r="V35" s="9" t="s">
        <v>28</v>
      </c>
      <c r="W35" s="15">
        <f>+COUNTIF(Q5:Q65,"Alguna")</f>
        <v>9</v>
      </c>
      <c r="X35" s="126"/>
      <c r="Y35" s="6" t="s">
        <v>115</v>
      </c>
      <c r="Z35" s="51">
        <f>COUNTIFS(C5:$C$65,"F",Q5:Q65,"Elevada")</f>
        <v>9</v>
      </c>
      <c r="AA35" s="126"/>
      <c r="AB35" s="6" t="s">
        <v>115</v>
      </c>
      <c r="AC35" s="51">
        <f>COUNTIFS(C5:$C$65,"F",Q5:Q65,"Alguna")</f>
        <v>6</v>
      </c>
      <c r="AD35" s="126"/>
      <c r="AE35" s="6" t="s">
        <v>115</v>
      </c>
      <c r="AF35" s="51">
        <f>COUNTIFS(C5:$C$65,"F",Q5:Q65,"Poca")</f>
        <v>5</v>
      </c>
      <c r="AG35" s="126"/>
      <c r="AH35" s="6" t="s">
        <v>115</v>
      </c>
      <c r="AI35" s="57">
        <f>COUNTIFS(C5:$C$65,"F",Q5:Q65,"Ninguna")</f>
        <v>3</v>
      </c>
      <c r="AJ35" s="57"/>
      <c r="AK35" s="126"/>
      <c r="AL35" s="50" t="s">
        <v>5</v>
      </c>
      <c r="AM35" s="6">
        <f>COUNTIFS(E5:$E$65,"1",$Q$5:$Q$65,"Elevada")</f>
        <v>1</v>
      </c>
      <c r="AN35" s="39" t="s">
        <v>8</v>
      </c>
      <c r="AO35" s="6">
        <f>COUNTIFS(H5:$H$65,"1",$Q$5:$Q$65,"Elevada")</f>
        <v>2</v>
      </c>
      <c r="AP35" s="6"/>
      <c r="AQ35" s="51"/>
      <c r="AR35" s="126"/>
      <c r="AS35" s="6" t="s">
        <v>5</v>
      </c>
      <c r="AT35" s="6">
        <f>COUNTIFS(E5:$E$65,"1",$Q$5:$Q$65,"Alguna")</f>
        <v>1</v>
      </c>
      <c r="AU35" s="39" t="s">
        <v>8</v>
      </c>
      <c r="AV35" s="6">
        <f>COUNTIFS(H5:$H$65,"1",$Q$5:$Q$65,"Alguna")</f>
        <v>2</v>
      </c>
      <c r="AW35" s="6"/>
      <c r="AX35" s="51"/>
    </row>
    <row r="36" spans="1:50" ht="15.75" thickBot="1" x14ac:dyDescent="0.3">
      <c r="A36" s="3">
        <v>32</v>
      </c>
      <c r="B36" s="29">
        <v>42935</v>
      </c>
      <c r="C36" s="28" t="s">
        <v>30</v>
      </c>
      <c r="D36" s="28"/>
      <c r="E36" s="28"/>
      <c r="F36" s="28">
        <v>1</v>
      </c>
      <c r="G36" s="28"/>
      <c r="H36" s="28"/>
      <c r="I36" s="28"/>
      <c r="J36" s="33" t="s">
        <v>92</v>
      </c>
      <c r="K36" s="6" t="s">
        <v>94</v>
      </c>
      <c r="L36" s="28" t="s">
        <v>25</v>
      </c>
      <c r="M36" s="28" t="s">
        <v>25</v>
      </c>
      <c r="N36" s="28" t="s">
        <v>25</v>
      </c>
      <c r="O36" s="28" t="s">
        <v>25</v>
      </c>
      <c r="P36" s="28" t="s">
        <v>25</v>
      </c>
      <c r="Q36" s="28" t="s">
        <v>27</v>
      </c>
      <c r="R36" s="28" t="s">
        <v>20</v>
      </c>
      <c r="S36" s="28" t="s">
        <v>20</v>
      </c>
      <c r="U36" s="109"/>
      <c r="V36" s="9" t="s">
        <v>26</v>
      </c>
      <c r="W36" s="15">
        <f>+COUNTIF(Q5:Q65,"Poca")</f>
        <v>7</v>
      </c>
      <c r="X36" s="127"/>
      <c r="Y36" s="26" t="s">
        <v>29</v>
      </c>
      <c r="Z36" s="52">
        <f>COUNTIFS(C5:$C$65,"Blanco",Q5:Q65,"Elevada")</f>
        <v>0</v>
      </c>
      <c r="AA36" s="127"/>
      <c r="AB36" s="26" t="s">
        <v>29</v>
      </c>
      <c r="AC36" s="52">
        <f>COUNTIFS(C5:$C$65,"Blanco",Q5:Q65,"Alguna")</f>
        <v>0</v>
      </c>
      <c r="AD36" s="127"/>
      <c r="AE36" s="26" t="s">
        <v>29</v>
      </c>
      <c r="AF36" s="52">
        <f>COUNTIFS(C5:$C$65,"Blanco",Q5:Q65,"Poca")</f>
        <v>0</v>
      </c>
      <c r="AG36" s="127"/>
      <c r="AH36" s="26" t="s">
        <v>29</v>
      </c>
      <c r="AI36" s="58">
        <f>COUNTIFS(C5:$C$65,"Blanco",Q5:Q65,"Ninguna")</f>
        <v>0</v>
      </c>
      <c r="AJ36" s="58"/>
      <c r="AK36" s="127"/>
      <c r="AL36" s="59" t="s">
        <v>6</v>
      </c>
      <c r="AM36" s="26">
        <f>COUNTIFS(F5:$F$65,"1",$Q$5:$Q$65,"Elevada")</f>
        <v>2</v>
      </c>
      <c r="AN36" s="26" t="s">
        <v>9</v>
      </c>
      <c r="AO36" s="26">
        <f>COUNTIFS(I5:$I$65,"1",$Q$5:$Q$65,"Elevada")</f>
        <v>4</v>
      </c>
      <c r="AP36" s="26"/>
      <c r="AQ36" s="52"/>
      <c r="AR36" s="127"/>
      <c r="AS36" s="26" t="s">
        <v>6</v>
      </c>
      <c r="AT36" s="26">
        <f>COUNTIFS(F5:$F$65,"1",$Q$5:$Q$65,"Alguna")</f>
        <v>1</v>
      </c>
      <c r="AU36" s="26" t="s">
        <v>9</v>
      </c>
      <c r="AV36" s="26">
        <f>COUNTIFS(I5:$I$65,"1",$Q$5:$Q$65,"Alguna")</f>
        <v>1</v>
      </c>
      <c r="AW36" s="26"/>
      <c r="AX36" s="52"/>
    </row>
    <row r="37" spans="1:50" ht="15.75" thickBot="1" x14ac:dyDescent="0.3">
      <c r="A37" s="3">
        <v>33</v>
      </c>
      <c r="B37" s="29">
        <v>42935</v>
      </c>
      <c r="C37" s="28" t="s">
        <v>30</v>
      </c>
      <c r="D37" s="28"/>
      <c r="E37" s="28"/>
      <c r="F37" s="28">
        <v>1</v>
      </c>
      <c r="G37" s="28"/>
      <c r="H37" s="28"/>
      <c r="I37" s="28"/>
      <c r="J37" s="33" t="s">
        <v>92</v>
      </c>
      <c r="K37" s="6" t="s">
        <v>94</v>
      </c>
      <c r="L37" s="28" t="s">
        <v>20</v>
      </c>
      <c r="M37" s="28" t="s">
        <v>20</v>
      </c>
      <c r="N37" s="28" t="s">
        <v>25</v>
      </c>
      <c r="O37" s="28" t="s">
        <v>25</v>
      </c>
      <c r="P37" s="28" t="s">
        <v>25</v>
      </c>
      <c r="Q37" s="28" t="s">
        <v>26</v>
      </c>
      <c r="R37" s="28" t="s">
        <v>25</v>
      </c>
      <c r="S37" s="28" t="s">
        <v>20</v>
      </c>
      <c r="U37" s="110"/>
      <c r="V37" s="13" t="s">
        <v>34</v>
      </c>
      <c r="W37" s="16">
        <f>+COUNTIF(Q5:Q65,"Ninguna")</f>
        <v>5</v>
      </c>
      <c r="X37" s="47"/>
      <c r="Y37" s="60"/>
      <c r="Z37" s="62"/>
      <c r="AA37" s="63"/>
      <c r="AB37" s="60"/>
      <c r="AC37" s="64"/>
      <c r="AD37" s="60"/>
      <c r="AE37" s="60"/>
      <c r="AF37" s="60"/>
      <c r="AG37" s="60"/>
      <c r="AH37" s="60"/>
      <c r="AI37" s="60"/>
      <c r="AJ37" s="60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</row>
    <row r="38" spans="1:50" x14ac:dyDescent="0.25">
      <c r="A38" s="3">
        <v>34</v>
      </c>
      <c r="B38" s="29">
        <v>42935</v>
      </c>
      <c r="C38" s="28" t="s">
        <v>23</v>
      </c>
      <c r="D38" s="28"/>
      <c r="E38" s="28">
        <v>1</v>
      </c>
      <c r="F38" s="28"/>
      <c r="G38" s="28"/>
      <c r="H38" s="28"/>
      <c r="I38" s="28"/>
      <c r="J38" s="33" t="s">
        <v>92</v>
      </c>
      <c r="K38" s="6" t="s">
        <v>94</v>
      </c>
      <c r="L38" s="28" t="s">
        <v>25</v>
      </c>
      <c r="M38" s="28" t="s">
        <v>25</v>
      </c>
      <c r="N38" s="28" t="s">
        <v>25</v>
      </c>
      <c r="O38" s="28" t="s">
        <v>25</v>
      </c>
      <c r="P38" s="28" t="s">
        <v>25</v>
      </c>
      <c r="Q38" s="28" t="s">
        <v>34</v>
      </c>
      <c r="R38" s="28" t="s">
        <v>25</v>
      </c>
      <c r="S38" s="28" t="s">
        <v>25</v>
      </c>
      <c r="U38" s="137" t="s">
        <v>42</v>
      </c>
      <c r="V38" s="12" t="s">
        <v>20</v>
      </c>
      <c r="W38" s="14">
        <f>+COUNTIF(R5:R65,"Si")</f>
        <v>17</v>
      </c>
      <c r="X38" s="125" t="s">
        <v>118</v>
      </c>
      <c r="Y38" s="48" t="s">
        <v>114</v>
      </c>
      <c r="Z38" s="49">
        <f>COUNTIFS(C5:$C$65,"M",R5:R65,"Si")</f>
        <v>7</v>
      </c>
      <c r="AA38" s="125" t="s">
        <v>117</v>
      </c>
      <c r="AB38" s="48" t="s">
        <v>114</v>
      </c>
      <c r="AC38" s="55">
        <f>COUNTIFS(C5:$C$65,"M",R5:R65,"No")</f>
        <v>5</v>
      </c>
      <c r="AD38" s="125" t="s">
        <v>118</v>
      </c>
      <c r="AE38" s="48" t="s">
        <v>4</v>
      </c>
      <c r="AF38" s="48">
        <f>COUNTIFS($D$5:$D$65,"1",$R$5:$R$65,"Si")</f>
        <v>2</v>
      </c>
      <c r="AG38" s="48" t="s">
        <v>7</v>
      </c>
      <c r="AH38" s="48">
        <f>COUNTIFS($G$5:$G$65,"1",$R$5:$R$65,"Si")</f>
        <v>2</v>
      </c>
      <c r="AI38" s="48" t="s">
        <v>29</v>
      </c>
      <c r="AJ38" s="49">
        <f>COUNTIFS($I$5:$I$65,"Blanco",$R$5:$R$65,"Si")</f>
        <v>2</v>
      </c>
      <c r="AK38" s="50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x14ac:dyDescent="0.25">
      <c r="A39" s="3">
        <v>35</v>
      </c>
      <c r="B39" s="29">
        <v>42935</v>
      </c>
      <c r="C39" s="28" t="s">
        <v>30</v>
      </c>
      <c r="D39" s="28"/>
      <c r="E39" s="28">
        <v>1</v>
      </c>
      <c r="F39" s="28"/>
      <c r="G39" s="28"/>
      <c r="H39" s="28"/>
      <c r="I39" s="28"/>
      <c r="J39" s="33" t="s">
        <v>92</v>
      </c>
      <c r="K39" s="6" t="s">
        <v>94</v>
      </c>
      <c r="L39" s="28" t="s">
        <v>25</v>
      </c>
      <c r="M39" s="28" t="s">
        <v>25</v>
      </c>
      <c r="N39" s="28" t="s">
        <v>25</v>
      </c>
      <c r="O39" s="28" t="s">
        <v>25</v>
      </c>
      <c r="P39" s="28" t="s">
        <v>25</v>
      </c>
      <c r="Q39" s="28" t="s">
        <v>27</v>
      </c>
      <c r="R39" s="28" t="s">
        <v>20</v>
      </c>
      <c r="S39" s="28" t="s">
        <v>20</v>
      </c>
      <c r="U39" s="109"/>
      <c r="V39" s="9" t="s">
        <v>25</v>
      </c>
      <c r="W39" s="15">
        <f>+COUNTIF(R5:R65,"No")</f>
        <v>18</v>
      </c>
      <c r="X39" s="126"/>
      <c r="Y39" s="6" t="s">
        <v>115</v>
      </c>
      <c r="Z39" s="51">
        <f>COUNTIFS(C5:$C$65,"F",R5:R65,"Si")</f>
        <v>10</v>
      </c>
      <c r="AA39" s="126"/>
      <c r="AB39" s="6" t="s">
        <v>115</v>
      </c>
      <c r="AC39" s="57">
        <f>COUNTIFS(C5:$C$65,"F",R5:R65,"No")</f>
        <v>13</v>
      </c>
      <c r="AD39" s="126"/>
      <c r="AE39" s="6" t="s">
        <v>5</v>
      </c>
      <c r="AF39" s="6">
        <f>COUNTIFS($E$5:$E$65,"1",$R$5:$R$65,"Si")</f>
        <v>1</v>
      </c>
      <c r="AG39" s="39" t="s">
        <v>8</v>
      </c>
      <c r="AH39" s="6">
        <f>COUNTIFS($H$5:$H$65,"1",$R$5:$R$65,"Si")</f>
        <v>2</v>
      </c>
      <c r="AI39" s="6"/>
      <c r="AJ39" s="51"/>
      <c r="AK39" s="50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5.75" thickBot="1" x14ac:dyDescent="0.3">
      <c r="A40" s="3">
        <v>36</v>
      </c>
      <c r="B40" s="29"/>
      <c r="C40" s="31"/>
      <c r="D40" s="28"/>
      <c r="E40" s="28"/>
      <c r="F40" s="28"/>
      <c r="G40" s="28"/>
      <c r="H40" s="28"/>
      <c r="I40" s="28"/>
      <c r="J40" s="33"/>
      <c r="K40" s="28"/>
      <c r="L40" s="31"/>
      <c r="M40" s="31"/>
      <c r="N40" s="31"/>
      <c r="O40" s="31"/>
      <c r="P40" s="31"/>
      <c r="Q40" s="31"/>
      <c r="R40" s="31"/>
      <c r="S40" s="31"/>
      <c r="U40" s="110"/>
      <c r="V40" s="13" t="s">
        <v>29</v>
      </c>
      <c r="W40" s="16">
        <f>+COUNTIF(R5:R65,"Blanco")</f>
        <v>0</v>
      </c>
      <c r="X40" s="127"/>
      <c r="Y40" s="26" t="s">
        <v>29</v>
      </c>
      <c r="Z40" s="52">
        <f>COUNTIFS(C5:$C$65,"Blanco",R5:R65,"Si")</f>
        <v>0</v>
      </c>
      <c r="AA40" s="127"/>
      <c r="AB40" s="26" t="s">
        <v>29</v>
      </c>
      <c r="AC40" s="58">
        <f>COUNTIFS(C5:$C$65,"Blanco",R5:R65,"No")</f>
        <v>0</v>
      </c>
      <c r="AD40" s="127"/>
      <c r="AE40" s="26" t="s">
        <v>6</v>
      </c>
      <c r="AF40" s="26">
        <f>COUNTIFS($F$5:$F$65,"1",$R$5:$R$65,"Si")</f>
        <v>3</v>
      </c>
      <c r="AG40" s="26" t="s">
        <v>9</v>
      </c>
      <c r="AH40" s="26">
        <f>COUNTIFS($I$5:$I$65,"1",$R$5:$R$65,"Si")</f>
        <v>5</v>
      </c>
      <c r="AI40" s="26"/>
      <c r="AJ40" s="52"/>
      <c r="AK40" s="50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x14ac:dyDescent="0.25">
      <c r="A41" s="3">
        <v>37</v>
      </c>
      <c r="B41" s="29"/>
      <c r="C41" s="31"/>
      <c r="D41" s="28"/>
      <c r="E41" s="28"/>
      <c r="F41" s="28"/>
      <c r="G41" s="28"/>
      <c r="H41" s="28"/>
      <c r="I41" s="28"/>
      <c r="J41" s="33"/>
      <c r="K41" s="28"/>
      <c r="L41" s="31"/>
      <c r="M41" s="31"/>
      <c r="N41" s="31"/>
      <c r="O41" s="31"/>
      <c r="P41" s="31"/>
      <c r="Q41" s="31"/>
      <c r="R41" s="31"/>
      <c r="S41" s="31"/>
      <c r="U41" s="137" t="s">
        <v>43</v>
      </c>
      <c r="V41" s="12" t="s">
        <v>20</v>
      </c>
      <c r="W41" s="14">
        <f>+COUNTIF(S5:S65,"Si")</f>
        <v>27</v>
      </c>
      <c r="X41" s="125" t="s">
        <v>118</v>
      </c>
      <c r="Y41" s="48" t="s">
        <v>114</v>
      </c>
      <c r="Z41" s="49">
        <f>COUNTIFS(C5:$C$65,"M",S5:S65,"Si")</f>
        <v>10</v>
      </c>
      <c r="AA41" s="125" t="s">
        <v>117</v>
      </c>
      <c r="AB41" s="48" t="s">
        <v>114</v>
      </c>
      <c r="AC41" s="55">
        <f>COUNTIFS(C5:$C$65,"M",S5:S65,"No")</f>
        <v>2</v>
      </c>
      <c r="AD41" s="125" t="s">
        <v>118</v>
      </c>
      <c r="AE41" s="48" t="s">
        <v>4</v>
      </c>
      <c r="AF41" s="48">
        <f>COUNTIFS($D$5:$D$65,"1",$S$5:$S$65,"Si")</f>
        <v>2</v>
      </c>
      <c r="AG41" s="48" t="s">
        <v>7</v>
      </c>
      <c r="AH41" s="48">
        <f>COUNTIFS($G$5:$G$65,"1",$S$5:$S$65,"Si")</f>
        <v>4</v>
      </c>
      <c r="AI41" s="48" t="s">
        <v>29</v>
      </c>
      <c r="AJ41" s="49">
        <f>COUNTIFS($I$5:$I$65,"Blanco",$S$5:$S$65,"Si")</f>
        <v>2</v>
      </c>
      <c r="AK41" s="50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x14ac:dyDescent="0.25">
      <c r="A42" s="3">
        <v>38</v>
      </c>
      <c r="B42" s="29"/>
      <c r="C42" s="28"/>
      <c r="D42" s="28"/>
      <c r="E42" s="28"/>
      <c r="F42" s="28"/>
      <c r="G42" s="28"/>
      <c r="H42" s="28"/>
      <c r="I42" s="28"/>
      <c r="J42" s="33"/>
      <c r="K42" s="28"/>
      <c r="L42" s="28"/>
      <c r="M42" s="28"/>
      <c r="N42" s="28"/>
      <c r="O42" s="28"/>
      <c r="P42" s="28"/>
      <c r="Q42" s="28"/>
      <c r="R42" s="28"/>
      <c r="S42" s="28"/>
      <c r="U42" s="109"/>
      <c r="V42" s="9" t="s">
        <v>25</v>
      </c>
      <c r="W42" s="15">
        <f>+COUNTIF(S5:S65,"No")</f>
        <v>8</v>
      </c>
      <c r="X42" s="126"/>
      <c r="Y42" s="6" t="s">
        <v>115</v>
      </c>
      <c r="Z42" s="51">
        <f>COUNTIFS(C5:$C$65,"F",S5:S65,"Si")</f>
        <v>17</v>
      </c>
      <c r="AA42" s="126"/>
      <c r="AB42" s="6" t="s">
        <v>115</v>
      </c>
      <c r="AC42" s="57">
        <f>COUNTIFS(C5:$C$65,"F",S5:S65,"No")</f>
        <v>6</v>
      </c>
      <c r="AD42" s="126"/>
      <c r="AE42" s="6" t="s">
        <v>5</v>
      </c>
      <c r="AF42" s="6">
        <f>COUNTIFS($E$5:$E$65,"1",$S$6:$S$66,"Si")</f>
        <v>4</v>
      </c>
      <c r="AG42" s="39" t="s">
        <v>8</v>
      </c>
      <c r="AH42" s="6">
        <f>COUNTIFS($H$5:$H$65,"1",$S$5:$S$65,"Si")</f>
        <v>4</v>
      </c>
      <c r="AI42" s="6"/>
      <c r="AJ42" s="51"/>
      <c r="AK42" s="50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5.75" thickBot="1" x14ac:dyDescent="0.3">
      <c r="A43" s="3">
        <v>39</v>
      </c>
      <c r="B43" s="29"/>
      <c r="C43" s="28"/>
      <c r="D43" s="28"/>
      <c r="E43" s="28"/>
      <c r="F43" s="28"/>
      <c r="G43" s="28"/>
      <c r="H43" s="28"/>
      <c r="I43" s="28"/>
      <c r="J43" s="33"/>
      <c r="K43" s="28"/>
      <c r="L43" s="28"/>
      <c r="M43" s="28"/>
      <c r="N43" s="28"/>
      <c r="O43" s="28"/>
      <c r="P43" s="28"/>
      <c r="Q43" s="28"/>
      <c r="R43" s="28"/>
      <c r="S43" s="28"/>
      <c r="U43" s="110"/>
      <c r="V43" s="13" t="s">
        <v>29</v>
      </c>
      <c r="W43" s="16">
        <f>+COUNTIF(S5:S65,"Blanco")</f>
        <v>0</v>
      </c>
      <c r="X43" s="127"/>
      <c r="Y43" s="26" t="s">
        <v>29</v>
      </c>
      <c r="Z43" s="52">
        <f>COUNTIFS(C5:$C$65,"Blanco",S5:S65,"Si")</f>
        <v>0</v>
      </c>
      <c r="AA43" s="127"/>
      <c r="AB43" s="26" t="s">
        <v>29</v>
      </c>
      <c r="AC43" s="58">
        <f>COUNTIFS(C5:$C$65,"Blanco",S5:S65,"No")</f>
        <v>0</v>
      </c>
      <c r="AD43" s="127"/>
      <c r="AE43" s="26" t="s">
        <v>6</v>
      </c>
      <c r="AF43" s="26">
        <f>COUNTIFS($F$5:$F$65,"1",$S$5:$S$65,"Si")</f>
        <v>5</v>
      </c>
      <c r="AG43" s="26" t="s">
        <v>9</v>
      </c>
      <c r="AH43" s="26">
        <f>COUNTIFS($I$5:$I$65,"1",$S$5:$S$65,"Si")</f>
        <v>7</v>
      </c>
      <c r="AI43" s="26"/>
      <c r="AJ43" s="52"/>
      <c r="AK43" s="50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x14ac:dyDescent="0.25">
      <c r="A44" s="3">
        <v>40</v>
      </c>
      <c r="B44" s="29"/>
      <c r="C44" s="28"/>
      <c r="D44" s="28"/>
      <c r="E44" s="28"/>
      <c r="F44" s="28"/>
      <c r="G44" s="28"/>
      <c r="H44" s="28"/>
      <c r="I44" s="28"/>
      <c r="J44" s="33"/>
      <c r="K44" s="28"/>
      <c r="L44" s="28"/>
      <c r="M44" s="28"/>
      <c r="N44" s="28"/>
      <c r="O44" s="28"/>
      <c r="P44" s="28"/>
      <c r="Q44" s="28"/>
      <c r="R44" s="28"/>
      <c r="S44" s="28"/>
    </row>
    <row r="45" spans="1:50" x14ac:dyDescent="0.25">
      <c r="A45" s="3">
        <v>41</v>
      </c>
      <c r="B45" s="29"/>
      <c r="C45" s="28"/>
      <c r="D45" s="28"/>
      <c r="E45" s="28"/>
      <c r="F45" s="28"/>
      <c r="G45" s="28"/>
      <c r="H45" s="28"/>
      <c r="I45" s="28"/>
      <c r="J45" s="33"/>
      <c r="K45" s="28"/>
      <c r="L45" s="28"/>
      <c r="M45" s="28"/>
      <c r="N45" s="28"/>
      <c r="O45" s="28"/>
      <c r="P45" s="28"/>
      <c r="Q45" s="28"/>
      <c r="R45" s="28"/>
      <c r="S45" s="28"/>
    </row>
    <row r="46" spans="1:50" x14ac:dyDescent="0.25">
      <c r="A46" s="3">
        <v>42</v>
      </c>
      <c r="B46" s="29"/>
      <c r="C46" s="28"/>
      <c r="D46" s="28"/>
      <c r="E46" s="28"/>
      <c r="F46" s="28"/>
      <c r="G46" s="28"/>
      <c r="H46" s="28"/>
      <c r="I46" s="28"/>
      <c r="J46" s="33"/>
      <c r="K46" s="28"/>
      <c r="L46" s="28"/>
      <c r="M46" s="28"/>
      <c r="N46" s="28"/>
      <c r="O46" s="28"/>
      <c r="P46" s="28"/>
      <c r="Q46" s="28"/>
      <c r="R46" s="28"/>
      <c r="S46" s="28"/>
    </row>
    <row r="47" spans="1:50" x14ac:dyDescent="0.25">
      <c r="A47" s="3">
        <v>43</v>
      </c>
      <c r="B47" s="29"/>
      <c r="C47" s="28"/>
      <c r="D47" s="28"/>
      <c r="E47" s="28"/>
      <c r="F47" s="28"/>
      <c r="G47" s="28"/>
      <c r="H47" s="28"/>
      <c r="I47" s="28"/>
      <c r="J47" s="33"/>
      <c r="K47" s="28"/>
      <c r="L47" s="28"/>
      <c r="M47" s="28"/>
      <c r="N47" s="28"/>
      <c r="O47" s="28"/>
      <c r="P47" s="28"/>
      <c r="Q47" s="28"/>
      <c r="R47" s="28"/>
      <c r="S47" s="28"/>
    </row>
    <row r="48" spans="1:50" x14ac:dyDescent="0.25">
      <c r="A48" s="3">
        <v>44</v>
      </c>
      <c r="B48" s="29"/>
      <c r="C48" s="28"/>
      <c r="D48" s="28"/>
      <c r="E48" s="28"/>
      <c r="F48" s="28"/>
      <c r="G48" s="28"/>
      <c r="H48" s="28"/>
      <c r="I48" s="28"/>
      <c r="J48" s="33"/>
      <c r="K48" s="28"/>
      <c r="L48" s="28"/>
      <c r="M48" s="28"/>
      <c r="N48" s="28"/>
      <c r="O48" s="28"/>
      <c r="P48" s="28"/>
      <c r="Q48" s="28"/>
      <c r="R48" s="28"/>
      <c r="S48" s="28"/>
    </row>
    <row r="49" spans="1:19" x14ac:dyDescent="0.25">
      <c r="A49" s="3">
        <v>45</v>
      </c>
      <c r="B49" s="29"/>
      <c r="C49" s="28"/>
      <c r="D49" s="28"/>
      <c r="E49" s="28"/>
      <c r="F49" s="28"/>
      <c r="G49" s="28"/>
      <c r="H49" s="28"/>
      <c r="I49" s="28"/>
      <c r="J49" s="33"/>
      <c r="K49" s="28"/>
      <c r="L49" s="28"/>
      <c r="M49" s="28"/>
      <c r="N49" s="28"/>
      <c r="O49" s="28"/>
      <c r="P49" s="28"/>
      <c r="Q49" s="28"/>
      <c r="R49" s="28"/>
      <c r="S49" s="28"/>
    </row>
    <row r="50" spans="1:19" x14ac:dyDescent="0.25">
      <c r="A50" s="3">
        <v>46</v>
      </c>
      <c r="B50" s="29"/>
      <c r="C50" s="28"/>
      <c r="D50" s="28"/>
      <c r="E50" s="28"/>
      <c r="F50" s="28"/>
      <c r="G50" s="28"/>
      <c r="H50" s="28"/>
      <c r="I50" s="28"/>
      <c r="J50" s="33"/>
      <c r="K50" s="28"/>
      <c r="L50" s="28"/>
      <c r="M50" s="28"/>
      <c r="N50" s="28"/>
      <c r="O50" s="28"/>
      <c r="P50" s="28"/>
      <c r="Q50" s="28"/>
      <c r="R50" s="28"/>
      <c r="S50" s="28"/>
    </row>
    <row r="51" spans="1:19" x14ac:dyDescent="0.25">
      <c r="A51" s="3">
        <v>47</v>
      </c>
      <c r="B51" s="29"/>
      <c r="C51" s="28"/>
      <c r="D51" s="28"/>
      <c r="E51" s="28"/>
      <c r="F51" s="28"/>
      <c r="G51" s="28"/>
      <c r="H51" s="28"/>
      <c r="I51" s="28"/>
      <c r="J51" s="33"/>
      <c r="K51" s="28"/>
      <c r="L51" s="28"/>
      <c r="M51" s="28"/>
      <c r="N51" s="28"/>
      <c r="O51" s="28"/>
      <c r="P51" s="28"/>
      <c r="Q51" s="28"/>
      <c r="R51" s="28"/>
      <c r="S51" s="28"/>
    </row>
    <row r="52" spans="1:19" x14ac:dyDescent="0.25">
      <c r="A52" s="3">
        <v>48</v>
      </c>
      <c r="B52" s="29"/>
      <c r="C52" s="28"/>
      <c r="D52" s="28"/>
      <c r="E52" s="28"/>
      <c r="F52" s="28"/>
      <c r="G52" s="28"/>
      <c r="H52" s="28"/>
      <c r="I52" s="28"/>
      <c r="J52" s="33"/>
      <c r="K52" s="28"/>
      <c r="L52" s="28"/>
      <c r="M52" s="28"/>
      <c r="N52" s="28"/>
      <c r="O52" s="28"/>
      <c r="P52" s="28"/>
      <c r="Q52" s="28"/>
      <c r="R52" s="28"/>
      <c r="S52" s="28"/>
    </row>
    <row r="53" spans="1:19" x14ac:dyDescent="0.25">
      <c r="A53" s="3">
        <v>49</v>
      </c>
      <c r="B53" s="29"/>
      <c r="C53" s="28"/>
      <c r="D53" s="28"/>
      <c r="E53" s="28"/>
      <c r="F53" s="28"/>
      <c r="G53" s="28"/>
      <c r="H53" s="28"/>
      <c r="I53" s="28"/>
      <c r="J53" s="33"/>
      <c r="K53" s="28"/>
      <c r="L53" s="28"/>
      <c r="M53" s="28"/>
      <c r="N53" s="28"/>
      <c r="O53" s="28"/>
      <c r="P53" s="28"/>
      <c r="Q53" s="28"/>
      <c r="R53" s="28"/>
      <c r="S53" s="28"/>
    </row>
    <row r="54" spans="1:19" x14ac:dyDescent="0.25">
      <c r="A54" s="3">
        <v>50</v>
      </c>
      <c r="B54" s="29"/>
      <c r="C54" s="28"/>
      <c r="D54" s="28"/>
      <c r="E54" s="28"/>
      <c r="F54" s="28"/>
      <c r="G54" s="28"/>
      <c r="H54" s="28"/>
      <c r="I54" s="28"/>
      <c r="J54" s="33"/>
      <c r="K54" s="28"/>
      <c r="L54" s="28"/>
      <c r="M54" s="28"/>
      <c r="N54" s="28"/>
      <c r="O54" s="28"/>
      <c r="P54" s="28"/>
      <c r="Q54" s="28"/>
      <c r="R54" s="28"/>
      <c r="S54" s="28"/>
    </row>
    <row r="55" spans="1:19" x14ac:dyDescent="0.25">
      <c r="A55" s="3">
        <v>51</v>
      </c>
      <c r="B55" s="29"/>
      <c r="C55" s="28"/>
      <c r="D55" s="28"/>
      <c r="E55" s="28"/>
      <c r="F55" s="28"/>
      <c r="G55" s="28"/>
      <c r="H55" s="28"/>
      <c r="I55" s="28"/>
      <c r="J55" s="33"/>
      <c r="K55" s="28"/>
      <c r="L55" s="28"/>
      <c r="M55" s="28"/>
      <c r="N55" s="28"/>
      <c r="O55" s="28"/>
      <c r="P55" s="28"/>
      <c r="Q55" s="28"/>
      <c r="R55" s="28"/>
      <c r="S55" s="28"/>
    </row>
    <row r="56" spans="1:19" x14ac:dyDescent="0.25">
      <c r="A56" s="3">
        <v>52</v>
      </c>
      <c r="B56" s="29"/>
      <c r="C56" s="28"/>
      <c r="D56" s="28"/>
      <c r="E56" s="28"/>
      <c r="F56" s="28"/>
      <c r="G56" s="28"/>
      <c r="H56" s="28"/>
      <c r="I56" s="28"/>
      <c r="J56" s="33"/>
      <c r="K56" s="28"/>
      <c r="L56" s="28"/>
      <c r="M56" s="28"/>
      <c r="N56" s="28"/>
      <c r="O56" s="28"/>
      <c r="P56" s="28"/>
      <c r="Q56" s="28"/>
      <c r="R56" s="28"/>
      <c r="S56" s="28"/>
    </row>
    <row r="57" spans="1:19" x14ac:dyDescent="0.25">
      <c r="A57" s="3">
        <v>53</v>
      </c>
      <c r="B57" s="29"/>
      <c r="C57" s="28"/>
      <c r="D57" s="28"/>
      <c r="E57" s="28"/>
      <c r="F57" s="28"/>
      <c r="G57" s="28"/>
      <c r="H57" s="28"/>
      <c r="I57" s="28"/>
      <c r="J57" s="33"/>
      <c r="K57" s="28"/>
      <c r="L57" s="28"/>
      <c r="M57" s="28"/>
      <c r="N57" s="28"/>
      <c r="O57" s="28"/>
      <c r="P57" s="28"/>
      <c r="Q57" s="28"/>
      <c r="R57" s="28"/>
      <c r="S57" s="28"/>
    </row>
    <row r="58" spans="1:19" x14ac:dyDescent="0.25">
      <c r="A58" s="3">
        <v>54</v>
      </c>
      <c r="B58" s="29"/>
      <c r="C58" s="28"/>
      <c r="D58" s="28"/>
      <c r="E58" s="28"/>
      <c r="F58" s="28"/>
      <c r="G58" s="28"/>
      <c r="H58" s="28"/>
      <c r="I58" s="28"/>
      <c r="J58" s="33"/>
      <c r="K58" s="28"/>
      <c r="L58" s="28"/>
      <c r="M58" s="28"/>
      <c r="N58" s="28"/>
      <c r="O58" s="28"/>
      <c r="P58" s="28"/>
      <c r="Q58" s="28"/>
      <c r="R58" s="28"/>
      <c r="S58" s="28"/>
    </row>
    <row r="59" spans="1:19" x14ac:dyDescent="0.25">
      <c r="A59" s="3">
        <v>55</v>
      </c>
      <c r="B59" s="29"/>
      <c r="C59" s="28"/>
      <c r="D59" s="28"/>
      <c r="E59" s="28"/>
      <c r="F59" s="28"/>
      <c r="G59" s="28"/>
      <c r="H59" s="28"/>
      <c r="I59" s="28"/>
      <c r="J59" s="33"/>
      <c r="K59" s="28"/>
      <c r="L59" s="28"/>
      <c r="M59" s="28"/>
      <c r="N59" s="28"/>
      <c r="O59" s="28"/>
      <c r="P59" s="28"/>
      <c r="Q59" s="28"/>
      <c r="R59" s="28"/>
      <c r="S59" s="28"/>
    </row>
    <row r="60" spans="1:19" x14ac:dyDescent="0.25">
      <c r="A60" s="3">
        <v>56</v>
      </c>
      <c r="B60" s="29"/>
      <c r="C60" s="28"/>
      <c r="D60" s="28"/>
      <c r="E60" s="28"/>
      <c r="F60" s="28"/>
      <c r="G60" s="28"/>
      <c r="H60" s="28"/>
      <c r="I60" s="28"/>
      <c r="J60" s="33"/>
      <c r="K60" s="28"/>
      <c r="L60" s="28"/>
      <c r="M60" s="28"/>
      <c r="N60" s="28"/>
      <c r="O60" s="28"/>
      <c r="P60" s="28"/>
      <c r="Q60" s="28"/>
      <c r="R60" s="28"/>
      <c r="S60" s="28"/>
    </row>
    <row r="61" spans="1:19" x14ac:dyDescent="0.25">
      <c r="A61" s="3">
        <v>57</v>
      </c>
      <c r="B61" s="29"/>
      <c r="C61" s="28"/>
      <c r="D61" s="28"/>
      <c r="E61" s="28"/>
      <c r="F61" s="28"/>
      <c r="G61" s="28"/>
      <c r="H61" s="28"/>
      <c r="I61" s="28"/>
      <c r="J61" s="33"/>
      <c r="K61" s="28"/>
      <c r="L61" s="28"/>
      <c r="M61" s="28"/>
      <c r="N61" s="28"/>
      <c r="O61" s="28"/>
      <c r="P61" s="28"/>
      <c r="Q61" s="28"/>
      <c r="R61" s="28"/>
      <c r="S61" s="28"/>
    </row>
    <row r="62" spans="1:19" x14ac:dyDescent="0.25">
      <c r="A62" s="3">
        <v>58</v>
      </c>
      <c r="B62" s="29"/>
      <c r="C62" s="28"/>
      <c r="D62" s="28"/>
      <c r="E62" s="28"/>
      <c r="F62" s="28"/>
      <c r="G62" s="28"/>
      <c r="H62" s="28"/>
      <c r="I62" s="28"/>
      <c r="J62" s="33"/>
      <c r="K62" s="28"/>
      <c r="L62" s="28"/>
      <c r="M62" s="28"/>
      <c r="N62" s="28"/>
      <c r="O62" s="28"/>
      <c r="P62" s="28"/>
      <c r="Q62" s="28"/>
      <c r="R62" s="28"/>
      <c r="S62" s="28"/>
    </row>
    <row r="63" spans="1:19" x14ac:dyDescent="0.25">
      <c r="A63" s="3">
        <v>59</v>
      </c>
      <c r="B63" s="29"/>
      <c r="C63" s="28"/>
      <c r="D63" s="28"/>
      <c r="E63" s="28"/>
      <c r="F63" s="28"/>
      <c r="G63" s="28"/>
      <c r="H63" s="28"/>
      <c r="I63" s="28"/>
      <c r="J63" s="33"/>
      <c r="K63" s="28"/>
      <c r="L63" s="28"/>
      <c r="M63" s="28"/>
      <c r="N63" s="28"/>
      <c r="O63" s="28"/>
      <c r="P63" s="28"/>
      <c r="Q63" s="28"/>
      <c r="R63" s="28"/>
      <c r="S63" s="28"/>
    </row>
    <row r="64" spans="1:19" x14ac:dyDescent="0.25">
      <c r="A64" s="3">
        <v>60</v>
      </c>
      <c r="B64" s="29"/>
      <c r="C64" s="28"/>
      <c r="D64" s="28"/>
      <c r="E64" s="28"/>
      <c r="F64" s="28"/>
      <c r="G64" s="28"/>
      <c r="H64" s="28"/>
      <c r="I64" s="28"/>
      <c r="J64" s="33"/>
      <c r="K64" s="28"/>
      <c r="L64" s="28"/>
      <c r="M64" s="28"/>
      <c r="N64" s="28"/>
      <c r="O64" s="28"/>
      <c r="P64" s="28"/>
      <c r="Q64" s="28"/>
      <c r="R64" s="28"/>
      <c r="S64" s="28"/>
    </row>
    <row r="65" spans="1:19" x14ac:dyDescent="0.25">
      <c r="A65" s="3">
        <v>61</v>
      </c>
      <c r="B65" s="29"/>
      <c r="C65" s="28"/>
      <c r="D65" s="28"/>
      <c r="E65" s="28"/>
      <c r="F65" s="28"/>
      <c r="G65" s="28"/>
      <c r="H65" s="28"/>
      <c r="I65" s="28"/>
      <c r="J65" s="33"/>
      <c r="K65" s="28"/>
      <c r="L65" s="28"/>
      <c r="M65" s="28"/>
      <c r="N65" s="28"/>
      <c r="O65" s="28"/>
      <c r="P65" s="28"/>
      <c r="Q65" s="28"/>
      <c r="R65" s="28"/>
      <c r="S65" s="28"/>
    </row>
  </sheetData>
  <mergeCells count="58">
    <mergeCell ref="X41:X43"/>
    <mergeCell ref="AA41:AA43"/>
    <mergeCell ref="AD41:AD43"/>
    <mergeCell ref="AG34:AG36"/>
    <mergeCell ref="AK34:AK36"/>
    <mergeCell ref="AR34:AR36"/>
    <mergeCell ref="X38:X40"/>
    <mergeCell ref="AA38:AA40"/>
    <mergeCell ref="AD38:AD40"/>
    <mergeCell ref="X31:X33"/>
    <mergeCell ref="AA31:AA33"/>
    <mergeCell ref="AD31:AD33"/>
    <mergeCell ref="X34:X36"/>
    <mergeCell ref="AA34:AA36"/>
    <mergeCell ref="AD34:AD36"/>
    <mergeCell ref="X25:X27"/>
    <mergeCell ref="AA25:AA27"/>
    <mergeCell ref="AD25:AD27"/>
    <mergeCell ref="X28:X30"/>
    <mergeCell ref="AA28:AA30"/>
    <mergeCell ref="AD28:AD30"/>
    <mergeCell ref="X19:X21"/>
    <mergeCell ref="AA19:AA21"/>
    <mergeCell ref="AD19:AD21"/>
    <mergeCell ref="X22:X24"/>
    <mergeCell ref="AA22:AA24"/>
    <mergeCell ref="AD22:AD24"/>
    <mergeCell ref="A1:S1"/>
    <mergeCell ref="U1:W1"/>
    <mergeCell ref="A2:S2"/>
    <mergeCell ref="U2:V2"/>
    <mergeCell ref="A3:A4"/>
    <mergeCell ref="B3:B4"/>
    <mergeCell ref="C3:C4"/>
    <mergeCell ref="D3:I3"/>
    <mergeCell ref="J3:J4"/>
    <mergeCell ref="K3:K4"/>
    <mergeCell ref="U6:U12"/>
    <mergeCell ref="L3:L4"/>
    <mergeCell ref="M3:M4"/>
    <mergeCell ref="N3:N4"/>
    <mergeCell ref="O3:O4"/>
    <mergeCell ref="P3:P4"/>
    <mergeCell ref="Q3:Q4"/>
    <mergeCell ref="R3:R4"/>
    <mergeCell ref="S3:S4"/>
    <mergeCell ref="U3:V3"/>
    <mergeCell ref="U4:V4"/>
    <mergeCell ref="U5:V5"/>
    <mergeCell ref="U34:U37"/>
    <mergeCell ref="U38:U40"/>
    <mergeCell ref="U41:U43"/>
    <mergeCell ref="U13:U18"/>
    <mergeCell ref="U19:U21"/>
    <mergeCell ref="U22:U24"/>
    <mergeCell ref="U25:U27"/>
    <mergeCell ref="U28:U30"/>
    <mergeCell ref="U31:U33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41"/>
  <sheetViews>
    <sheetView topLeftCell="V1" zoomScale="50" zoomScaleNormal="50" workbookViewId="0">
      <selection activeCell="AX31" sqref="AT31:AX33"/>
    </sheetView>
  </sheetViews>
  <sheetFormatPr baseColWidth="10" defaultRowHeight="15" x14ac:dyDescent="0.25"/>
  <cols>
    <col min="1" max="1" width="4.140625" style="1" bestFit="1" customWidth="1"/>
    <col min="2" max="2" width="17.42578125" customWidth="1"/>
    <col min="4" max="4" width="9.7109375" bestFit="1" customWidth="1"/>
    <col min="5" max="5" width="10.140625" bestFit="1" customWidth="1"/>
    <col min="6" max="6" width="9.7109375" bestFit="1" customWidth="1"/>
    <col min="7" max="7" width="10.140625" bestFit="1" customWidth="1"/>
    <col min="8" max="8" width="9.7109375" bestFit="1" customWidth="1"/>
    <col min="9" max="9" width="14.140625" customWidth="1"/>
    <col min="10" max="10" width="20.140625" bestFit="1" customWidth="1"/>
    <col min="11" max="11" width="23.85546875" bestFit="1" customWidth="1"/>
    <col min="12" max="19" width="14.28515625" customWidth="1"/>
    <col min="21" max="21" width="48.42578125" style="7" customWidth="1"/>
    <col min="22" max="22" width="23.85546875" bestFit="1" customWidth="1"/>
    <col min="23" max="23" width="11.42578125" style="1"/>
  </cols>
  <sheetData>
    <row r="1" spans="1:50" ht="15.75" thickBot="1" x14ac:dyDescent="0.3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U1" s="144" t="s">
        <v>46</v>
      </c>
      <c r="V1" s="145"/>
      <c r="W1" s="148"/>
    </row>
    <row r="2" spans="1:50" ht="15.75" thickBot="1" x14ac:dyDescent="0.3">
      <c r="A2" s="123" t="s">
        <v>21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U2" s="144" t="s">
        <v>44</v>
      </c>
      <c r="V2" s="145"/>
      <c r="W2" s="17">
        <f>+COUNTIF(C5:C41,"M")</f>
        <v>15</v>
      </c>
    </row>
    <row r="3" spans="1:50" ht="15.75" customHeight="1" thickBot="1" x14ac:dyDescent="0.3">
      <c r="A3" s="149" t="s">
        <v>22</v>
      </c>
      <c r="B3" s="151" t="s">
        <v>2</v>
      </c>
      <c r="C3" s="149" t="s">
        <v>1</v>
      </c>
      <c r="D3" s="123" t="s">
        <v>3</v>
      </c>
      <c r="E3" s="123"/>
      <c r="F3" s="123"/>
      <c r="G3" s="123"/>
      <c r="H3" s="123"/>
      <c r="I3" s="123"/>
      <c r="J3" s="149" t="s">
        <v>11</v>
      </c>
      <c r="K3" s="149" t="s">
        <v>10</v>
      </c>
      <c r="L3" s="142" t="s">
        <v>12</v>
      </c>
      <c r="M3" s="142" t="s">
        <v>13</v>
      </c>
      <c r="N3" s="142" t="s">
        <v>14</v>
      </c>
      <c r="O3" s="142" t="s">
        <v>15</v>
      </c>
      <c r="P3" s="142" t="s">
        <v>16</v>
      </c>
      <c r="Q3" s="142" t="s">
        <v>17</v>
      </c>
      <c r="R3" s="142" t="s">
        <v>18</v>
      </c>
      <c r="S3" s="142" t="s">
        <v>19</v>
      </c>
      <c r="U3" s="144" t="s">
        <v>45</v>
      </c>
      <c r="V3" s="145"/>
      <c r="W3" s="17">
        <f>+COUNTIF(C5:C41,"F")</f>
        <v>19</v>
      </c>
    </row>
    <row r="4" spans="1:50" ht="15.75" customHeight="1" thickBot="1" x14ac:dyDescent="0.3">
      <c r="A4" s="150"/>
      <c r="B4" s="152"/>
      <c r="C4" s="150"/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150"/>
      <c r="K4" s="150"/>
      <c r="L4" s="143"/>
      <c r="M4" s="143"/>
      <c r="N4" s="143"/>
      <c r="O4" s="143"/>
      <c r="P4" s="143"/>
      <c r="Q4" s="143"/>
      <c r="R4" s="143"/>
      <c r="S4" s="143"/>
      <c r="U4" s="146" t="s">
        <v>29</v>
      </c>
      <c r="V4" s="147"/>
      <c r="W4" s="17">
        <f>+COUNTIF(C5:C41,"Blanco")</f>
        <v>3</v>
      </c>
    </row>
    <row r="5" spans="1:50" ht="15.75" thickBot="1" x14ac:dyDescent="0.3">
      <c r="A5" s="3">
        <v>1</v>
      </c>
      <c r="B5" s="29">
        <v>42927</v>
      </c>
      <c r="C5" s="28" t="s">
        <v>30</v>
      </c>
      <c r="D5" s="28"/>
      <c r="E5" s="28"/>
      <c r="F5" s="28">
        <v>1</v>
      </c>
      <c r="G5" s="28"/>
      <c r="H5" s="28"/>
      <c r="I5" s="28"/>
      <c r="J5" s="33" t="s">
        <v>65</v>
      </c>
      <c r="K5" s="33" t="s">
        <v>62</v>
      </c>
      <c r="L5" s="28" t="s">
        <v>20</v>
      </c>
      <c r="M5" s="28" t="s">
        <v>20</v>
      </c>
      <c r="N5" s="28" t="s">
        <v>25</v>
      </c>
      <c r="O5" s="28" t="s">
        <v>20</v>
      </c>
      <c r="P5" s="28" t="s">
        <v>20</v>
      </c>
      <c r="Q5" s="28" t="s">
        <v>28</v>
      </c>
      <c r="R5" s="28" t="s">
        <v>20</v>
      </c>
      <c r="S5" s="28" t="s">
        <v>20</v>
      </c>
      <c r="U5" s="146" t="s">
        <v>47</v>
      </c>
      <c r="V5" s="147"/>
      <c r="W5" s="18">
        <f>SUM(W2:W4)</f>
        <v>37</v>
      </c>
    </row>
    <row r="6" spans="1:50" x14ac:dyDescent="0.25">
      <c r="A6" s="3">
        <v>2</v>
      </c>
      <c r="B6" s="29">
        <v>42927</v>
      </c>
      <c r="C6" s="28" t="s">
        <v>23</v>
      </c>
      <c r="D6" s="28"/>
      <c r="E6" s="28"/>
      <c r="F6" s="28">
        <v>1</v>
      </c>
      <c r="G6" s="28"/>
      <c r="H6" s="28"/>
      <c r="I6" s="28"/>
      <c r="J6" s="33" t="s">
        <v>65</v>
      </c>
      <c r="K6" s="33" t="s">
        <v>62</v>
      </c>
      <c r="L6" s="28" t="s">
        <v>25</v>
      </c>
      <c r="M6" s="28" t="s">
        <v>25</v>
      </c>
      <c r="N6" s="28" t="s">
        <v>25</v>
      </c>
      <c r="O6" s="28" t="s">
        <v>25</v>
      </c>
      <c r="P6" s="28" t="s">
        <v>25</v>
      </c>
      <c r="Q6" s="28" t="s">
        <v>26</v>
      </c>
      <c r="R6" s="28" t="s">
        <v>20</v>
      </c>
      <c r="S6" s="28" t="s">
        <v>20</v>
      </c>
      <c r="U6" s="140" t="s">
        <v>3</v>
      </c>
      <c r="V6" s="11" t="s">
        <v>4</v>
      </c>
      <c r="W6" s="14">
        <f>+COUNTIF(D4:D41,"1")</f>
        <v>9</v>
      </c>
    </row>
    <row r="7" spans="1:50" x14ac:dyDescent="0.25">
      <c r="A7" s="3">
        <v>3</v>
      </c>
      <c r="B7" s="29">
        <v>42927</v>
      </c>
      <c r="C7" s="28" t="s">
        <v>30</v>
      </c>
      <c r="D7" s="28"/>
      <c r="E7" s="28"/>
      <c r="F7" s="28"/>
      <c r="G7" s="28">
        <v>1</v>
      </c>
      <c r="H7" s="28"/>
      <c r="I7" s="28"/>
      <c r="J7" s="33" t="s">
        <v>65</v>
      </c>
      <c r="K7" s="33" t="s">
        <v>62</v>
      </c>
      <c r="L7" s="28" t="s">
        <v>20</v>
      </c>
      <c r="M7" s="28" t="s">
        <v>20</v>
      </c>
      <c r="N7" s="28" t="s">
        <v>25</v>
      </c>
      <c r="O7" s="28" t="s">
        <v>25</v>
      </c>
      <c r="P7" s="28" t="s">
        <v>25</v>
      </c>
      <c r="Q7" s="28" t="s">
        <v>28</v>
      </c>
      <c r="R7" s="28" t="s">
        <v>20</v>
      </c>
      <c r="S7" s="28" t="s">
        <v>20</v>
      </c>
      <c r="U7" s="141"/>
      <c r="V7" s="8" t="s">
        <v>5</v>
      </c>
      <c r="W7" s="15">
        <f>+COUNTIF(E5:E41,"1")</f>
        <v>3</v>
      </c>
    </row>
    <row r="8" spans="1:50" x14ac:dyDescent="0.25">
      <c r="A8" s="3">
        <v>4</v>
      </c>
      <c r="B8" s="29">
        <v>42927</v>
      </c>
      <c r="C8" s="28" t="s">
        <v>30</v>
      </c>
      <c r="D8" s="28"/>
      <c r="E8" s="28"/>
      <c r="F8" s="28"/>
      <c r="G8" s="28"/>
      <c r="H8" s="28"/>
      <c r="I8" s="28">
        <v>1</v>
      </c>
      <c r="J8" s="33" t="s">
        <v>65</v>
      </c>
      <c r="K8" s="33" t="s">
        <v>62</v>
      </c>
      <c r="L8" s="28" t="s">
        <v>20</v>
      </c>
      <c r="M8" s="28" t="s">
        <v>20</v>
      </c>
      <c r="N8" s="28" t="s">
        <v>25</v>
      </c>
      <c r="O8" s="28" t="s">
        <v>25</v>
      </c>
      <c r="P8" s="28" t="s">
        <v>25</v>
      </c>
      <c r="Q8" s="28" t="s">
        <v>28</v>
      </c>
      <c r="R8" s="28" t="s">
        <v>20</v>
      </c>
      <c r="S8" s="28" t="s">
        <v>20</v>
      </c>
      <c r="U8" s="141"/>
      <c r="V8" s="8" t="s">
        <v>6</v>
      </c>
      <c r="W8" s="15">
        <f>+COUNTIF(F5:F41,"1")</f>
        <v>5</v>
      </c>
    </row>
    <row r="9" spans="1:50" x14ac:dyDescent="0.25">
      <c r="A9" s="3">
        <v>5</v>
      </c>
      <c r="B9" s="29">
        <v>42927</v>
      </c>
      <c r="C9" s="28" t="s">
        <v>30</v>
      </c>
      <c r="D9" s="28"/>
      <c r="E9" s="28"/>
      <c r="F9" s="28"/>
      <c r="G9" s="28"/>
      <c r="H9" s="28"/>
      <c r="I9" s="28">
        <v>1</v>
      </c>
      <c r="J9" s="33" t="s">
        <v>65</v>
      </c>
      <c r="K9" s="33" t="s">
        <v>62</v>
      </c>
      <c r="L9" s="28" t="s">
        <v>20</v>
      </c>
      <c r="M9" s="28" t="s">
        <v>20</v>
      </c>
      <c r="N9" s="28" t="s">
        <v>25</v>
      </c>
      <c r="O9" s="28" t="s">
        <v>25</v>
      </c>
      <c r="P9" s="28" t="s">
        <v>25</v>
      </c>
      <c r="Q9" s="28" t="s">
        <v>27</v>
      </c>
      <c r="R9" s="28" t="s">
        <v>20</v>
      </c>
      <c r="S9" s="28" t="s">
        <v>20</v>
      </c>
      <c r="U9" s="141"/>
      <c r="V9" s="8" t="s">
        <v>7</v>
      </c>
      <c r="W9" s="15">
        <f>+COUNTIF(G5:G40,"1")</f>
        <v>6</v>
      </c>
    </row>
    <row r="10" spans="1:50" x14ac:dyDescent="0.25">
      <c r="A10" s="3">
        <v>6</v>
      </c>
      <c r="B10" s="29">
        <v>42933</v>
      </c>
      <c r="C10" s="20" t="s">
        <v>29</v>
      </c>
      <c r="D10" s="28"/>
      <c r="E10" s="28"/>
      <c r="F10" s="28"/>
      <c r="G10" s="28">
        <v>1</v>
      </c>
      <c r="H10" s="28"/>
      <c r="I10" s="28"/>
      <c r="J10" s="33" t="s">
        <v>65</v>
      </c>
      <c r="K10" s="33" t="s">
        <v>62</v>
      </c>
      <c r="L10" s="28" t="s">
        <v>25</v>
      </c>
      <c r="M10" s="28" t="s">
        <v>20</v>
      </c>
      <c r="N10" s="28" t="s">
        <v>25</v>
      </c>
      <c r="O10" s="28" t="s">
        <v>25</v>
      </c>
      <c r="P10" s="28" t="s">
        <v>25</v>
      </c>
      <c r="Q10" s="28" t="s">
        <v>28</v>
      </c>
      <c r="R10" s="28" t="s">
        <v>25</v>
      </c>
      <c r="S10" s="28" t="s">
        <v>25</v>
      </c>
      <c r="U10" s="141"/>
      <c r="V10" s="8" t="s">
        <v>8</v>
      </c>
      <c r="W10" s="15">
        <f>+COUNTIF(H5:H41,"1")</f>
        <v>4</v>
      </c>
    </row>
    <row r="11" spans="1:50" x14ac:dyDescent="0.25">
      <c r="A11" s="3">
        <v>7</v>
      </c>
      <c r="B11" s="29">
        <v>42933</v>
      </c>
      <c r="C11" s="28" t="s">
        <v>23</v>
      </c>
      <c r="D11" s="28">
        <v>1</v>
      </c>
      <c r="E11" s="28"/>
      <c r="F11" s="28"/>
      <c r="G11" s="28"/>
      <c r="H11" s="28"/>
      <c r="I11" s="28"/>
      <c r="J11" s="33" t="s">
        <v>65</v>
      </c>
      <c r="K11" s="33" t="s">
        <v>62</v>
      </c>
      <c r="L11" s="28" t="s">
        <v>20</v>
      </c>
      <c r="M11" s="28" t="s">
        <v>20</v>
      </c>
      <c r="N11" s="28" t="s">
        <v>20</v>
      </c>
      <c r="O11" s="28" t="s">
        <v>20</v>
      </c>
      <c r="P11" s="28" t="s">
        <v>20</v>
      </c>
      <c r="Q11" s="28" t="s">
        <v>27</v>
      </c>
      <c r="R11" s="28" t="s">
        <v>20</v>
      </c>
      <c r="S11" s="28" t="s">
        <v>20</v>
      </c>
      <c r="U11" s="141"/>
      <c r="V11" s="22" t="s">
        <v>9</v>
      </c>
      <c r="W11" s="23">
        <f>+COUNTIF(I5:I41,"1")</f>
        <v>8</v>
      </c>
    </row>
    <row r="12" spans="1:50" ht="15.75" thickBot="1" x14ac:dyDescent="0.3">
      <c r="A12" s="3">
        <v>8</v>
      </c>
      <c r="B12" s="29">
        <v>42933</v>
      </c>
      <c r="C12" s="28" t="s">
        <v>23</v>
      </c>
      <c r="D12" s="28"/>
      <c r="E12" s="28"/>
      <c r="F12" s="28">
        <v>1</v>
      </c>
      <c r="G12" s="28"/>
      <c r="H12" s="28"/>
      <c r="I12" s="28"/>
      <c r="J12" s="33" t="s">
        <v>65</v>
      </c>
      <c r="K12" s="33" t="s">
        <v>62</v>
      </c>
      <c r="L12" s="28" t="s">
        <v>20</v>
      </c>
      <c r="M12" s="28" t="s">
        <v>20</v>
      </c>
      <c r="N12" s="28" t="s">
        <v>25</v>
      </c>
      <c r="O12" s="28" t="s">
        <v>20</v>
      </c>
      <c r="P12" s="28" t="s">
        <v>20</v>
      </c>
      <c r="Q12" s="28" t="s">
        <v>26</v>
      </c>
      <c r="R12" s="28" t="s">
        <v>20</v>
      </c>
      <c r="S12" s="28" t="s">
        <v>20</v>
      </c>
      <c r="U12" s="155"/>
      <c r="V12" s="26" t="s">
        <v>29</v>
      </c>
      <c r="W12" s="16">
        <f>+COUNTIF(I5:I41,"Blanco")</f>
        <v>2</v>
      </c>
    </row>
    <row r="13" spans="1:50" x14ac:dyDescent="0.25">
      <c r="A13" s="3">
        <v>9</v>
      </c>
      <c r="B13" s="29">
        <v>42933</v>
      </c>
      <c r="C13" s="28" t="s">
        <v>23</v>
      </c>
      <c r="D13" s="28">
        <v>1</v>
      </c>
      <c r="E13" s="28"/>
      <c r="F13" s="28"/>
      <c r="G13" s="28"/>
      <c r="H13" s="28"/>
      <c r="I13" s="28"/>
      <c r="J13" s="33" t="s">
        <v>65</v>
      </c>
      <c r="K13" s="33" t="s">
        <v>62</v>
      </c>
      <c r="L13" s="28" t="s">
        <v>20</v>
      </c>
      <c r="M13" s="28" t="s">
        <v>20</v>
      </c>
      <c r="N13" s="28" t="s">
        <v>25</v>
      </c>
      <c r="O13" s="28" t="s">
        <v>25</v>
      </c>
      <c r="P13" s="28" t="s">
        <v>25</v>
      </c>
      <c r="Q13" s="28" t="s">
        <v>28</v>
      </c>
      <c r="R13" s="28" t="s">
        <v>20</v>
      </c>
      <c r="S13" s="28" t="s">
        <v>20</v>
      </c>
      <c r="U13" s="139" t="s">
        <v>35</v>
      </c>
      <c r="V13" s="24" t="s">
        <v>62</v>
      </c>
      <c r="W13" s="25">
        <f>+COUNTIF(K5:K41,"SRC")</f>
        <v>15</v>
      </c>
    </row>
    <row r="14" spans="1:50" x14ac:dyDescent="0.25">
      <c r="A14" s="3">
        <v>10</v>
      </c>
      <c r="B14" s="29">
        <v>42933</v>
      </c>
      <c r="C14" s="28" t="s">
        <v>23</v>
      </c>
      <c r="D14" s="28"/>
      <c r="E14" s="28"/>
      <c r="F14" s="28"/>
      <c r="G14" s="28"/>
      <c r="H14" s="28">
        <v>1</v>
      </c>
      <c r="I14" s="28"/>
      <c r="J14" s="33" t="s">
        <v>65</v>
      </c>
      <c r="K14" s="33" t="s">
        <v>62</v>
      </c>
      <c r="L14" s="28" t="s">
        <v>25</v>
      </c>
      <c r="M14" s="28" t="s">
        <v>25</v>
      </c>
      <c r="N14" s="28" t="s">
        <v>25</v>
      </c>
      <c r="O14" s="28" t="s">
        <v>25</v>
      </c>
      <c r="P14" s="28" t="s">
        <v>25</v>
      </c>
      <c r="Q14" s="28" t="s">
        <v>28</v>
      </c>
      <c r="R14" s="28" t="s">
        <v>25</v>
      </c>
      <c r="S14" s="28" t="s">
        <v>25</v>
      </c>
      <c r="U14" s="109"/>
      <c r="V14" s="1" t="s">
        <v>63</v>
      </c>
      <c r="W14" s="15">
        <f>+COUNTIF(K5:K41,"Corquin")</f>
        <v>10</v>
      </c>
    </row>
    <row r="15" spans="1:50" ht="15.75" thickBot="1" x14ac:dyDescent="0.3">
      <c r="A15" s="3">
        <v>11</v>
      </c>
      <c r="B15" s="29">
        <v>42933</v>
      </c>
      <c r="C15" s="28" t="s">
        <v>30</v>
      </c>
      <c r="D15" s="28"/>
      <c r="E15" s="28">
        <v>1</v>
      </c>
      <c r="F15" s="28"/>
      <c r="G15" s="28"/>
      <c r="H15" s="28"/>
      <c r="I15" s="28"/>
      <c r="J15" s="33" t="s">
        <v>65</v>
      </c>
      <c r="K15" s="33" t="s">
        <v>62</v>
      </c>
      <c r="L15" s="28" t="s">
        <v>25</v>
      </c>
      <c r="M15" s="28" t="s">
        <v>20</v>
      </c>
      <c r="N15" s="28" t="s">
        <v>20</v>
      </c>
      <c r="O15" s="28" t="s">
        <v>25</v>
      </c>
      <c r="P15" s="28" t="s">
        <v>20</v>
      </c>
      <c r="Q15" s="28" t="s">
        <v>26</v>
      </c>
      <c r="R15" s="28" t="s">
        <v>20</v>
      </c>
      <c r="S15" s="28" t="s">
        <v>20</v>
      </c>
      <c r="U15" s="110"/>
      <c r="V15" s="27" t="s">
        <v>64</v>
      </c>
      <c r="W15" s="16">
        <f>+COUNTIF(K5:K41,"Dulce Nombre")</f>
        <v>12</v>
      </c>
    </row>
    <row r="16" spans="1:50" ht="15" customHeight="1" x14ac:dyDescent="0.25">
      <c r="A16" s="3">
        <v>12</v>
      </c>
      <c r="B16" s="29">
        <v>42933</v>
      </c>
      <c r="C16" s="28" t="s">
        <v>23</v>
      </c>
      <c r="D16" s="28">
        <v>1</v>
      </c>
      <c r="E16" s="28"/>
      <c r="F16" s="28"/>
      <c r="G16" s="28"/>
      <c r="H16" s="28"/>
      <c r="I16" s="28"/>
      <c r="J16" s="33" t="s">
        <v>65</v>
      </c>
      <c r="K16" s="33" t="s">
        <v>62</v>
      </c>
      <c r="L16" s="28" t="s">
        <v>20</v>
      </c>
      <c r="M16" s="28" t="s">
        <v>25</v>
      </c>
      <c r="N16" s="28" t="s">
        <v>25</v>
      </c>
      <c r="O16" s="28" t="s">
        <v>25</v>
      </c>
      <c r="P16" s="28" t="s">
        <v>25</v>
      </c>
      <c r="Q16" s="28" t="s">
        <v>28</v>
      </c>
      <c r="R16" s="28" t="s">
        <v>20</v>
      </c>
      <c r="S16" s="28" t="s">
        <v>25</v>
      </c>
      <c r="U16" s="137" t="s">
        <v>36</v>
      </c>
      <c r="V16" s="12" t="s">
        <v>20</v>
      </c>
      <c r="W16" s="14">
        <f>+COUNTIF(L5:L41,"Si")</f>
        <v>28</v>
      </c>
      <c r="X16" s="125" t="s">
        <v>118</v>
      </c>
      <c r="Y16" s="48" t="s">
        <v>114</v>
      </c>
      <c r="Z16" s="49">
        <f>COUNTIFS($C$5:$C$65,"M",$L$5:$L$65,"Si")</f>
        <v>14</v>
      </c>
      <c r="AA16" s="125" t="s">
        <v>117</v>
      </c>
      <c r="AB16" s="48" t="s">
        <v>114</v>
      </c>
      <c r="AC16" s="55">
        <f>COUNTIFS($C$5:$C$65,"M",$L$5:$L$65,"No")</f>
        <v>1</v>
      </c>
      <c r="AD16" s="125" t="s">
        <v>118</v>
      </c>
      <c r="AE16" s="48" t="s">
        <v>4</v>
      </c>
      <c r="AF16" s="48">
        <f>COUNTIFS($D$5:$D$65,"1",$L$5:$L$65,"Si")</f>
        <v>8</v>
      </c>
      <c r="AG16" s="48" t="s">
        <v>7</v>
      </c>
      <c r="AH16" s="48">
        <f>COUNTIFS($G$5:$G$65,"1",$L$5:$L$65,"Si")</f>
        <v>4</v>
      </c>
      <c r="AI16" s="48" t="s">
        <v>29</v>
      </c>
      <c r="AJ16" s="49">
        <f>COUNTIFS($I$5:$I$65,"Blanco",$L$5:$L$65,"Si")</f>
        <v>1</v>
      </c>
      <c r="AK16" s="50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x14ac:dyDescent="0.25">
      <c r="A17" s="3">
        <v>13</v>
      </c>
      <c r="B17" s="29">
        <v>42933</v>
      </c>
      <c r="C17" s="28" t="s">
        <v>30</v>
      </c>
      <c r="D17" s="28">
        <v>1</v>
      </c>
      <c r="E17" s="28"/>
      <c r="F17" s="28"/>
      <c r="G17" s="28"/>
      <c r="H17" s="28"/>
      <c r="I17" s="28"/>
      <c r="J17" s="33" t="s">
        <v>65</v>
      </c>
      <c r="K17" s="33" t="s">
        <v>62</v>
      </c>
      <c r="L17" s="28" t="s">
        <v>20</v>
      </c>
      <c r="M17" s="28" t="s">
        <v>20</v>
      </c>
      <c r="N17" s="28" t="s">
        <v>25</v>
      </c>
      <c r="O17" s="28" t="s">
        <v>25</v>
      </c>
      <c r="P17" s="28" t="s">
        <v>25</v>
      </c>
      <c r="Q17" s="28" t="s">
        <v>27</v>
      </c>
      <c r="R17" s="28" t="s">
        <v>20</v>
      </c>
      <c r="S17" s="28" t="s">
        <v>20</v>
      </c>
      <c r="U17" s="109"/>
      <c r="V17" s="9" t="s">
        <v>25</v>
      </c>
      <c r="W17" s="15">
        <f>+COUNTIF(L5:L41,"No")</f>
        <v>9</v>
      </c>
      <c r="X17" s="126"/>
      <c r="Y17" s="6" t="s">
        <v>115</v>
      </c>
      <c r="Z17" s="51">
        <f>COUNTIFS($C$5:$C$65,"F",$L$5:$L$65,"Si")</f>
        <v>13</v>
      </c>
      <c r="AA17" s="126"/>
      <c r="AB17" s="6" t="s">
        <v>115</v>
      </c>
      <c r="AC17" s="57">
        <f>COUNTIFS($C$5:$C$65,"F",$L$5:$L$65,"No")</f>
        <v>6</v>
      </c>
      <c r="AD17" s="126"/>
      <c r="AE17" s="6" t="s">
        <v>5</v>
      </c>
      <c r="AF17" s="6">
        <f>COUNTIFS($E$5:$E$65,"1",$L$5:$L$65,"Si")</f>
        <v>1</v>
      </c>
      <c r="AG17" s="39" t="s">
        <v>8</v>
      </c>
      <c r="AH17" s="6">
        <f>COUNTIFS($H$5:$H$65,"1",$L$5:$L$65,"Si")</f>
        <v>2</v>
      </c>
      <c r="AI17" s="6"/>
      <c r="AJ17" s="51"/>
      <c r="AK17" s="50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5.75" thickBot="1" x14ac:dyDescent="0.3">
      <c r="A18" s="3">
        <v>14</v>
      </c>
      <c r="B18" s="29">
        <v>42933</v>
      </c>
      <c r="C18" s="28" t="s">
        <v>23</v>
      </c>
      <c r="D18" s="28">
        <v>1</v>
      </c>
      <c r="E18" s="28"/>
      <c r="F18" s="28"/>
      <c r="G18" s="28"/>
      <c r="H18" s="28"/>
      <c r="I18" s="28"/>
      <c r="J18" s="33" t="s">
        <v>65</v>
      </c>
      <c r="K18" s="33" t="s">
        <v>62</v>
      </c>
      <c r="L18" s="28" t="s">
        <v>20</v>
      </c>
      <c r="M18" s="28" t="s">
        <v>20</v>
      </c>
      <c r="N18" s="28" t="s">
        <v>25</v>
      </c>
      <c r="O18" s="28" t="s">
        <v>25</v>
      </c>
      <c r="P18" s="28" t="s">
        <v>25</v>
      </c>
      <c r="Q18" s="28" t="s">
        <v>34</v>
      </c>
      <c r="R18" s="28" t="s">
        <v>20</v>
      </c>
      <c r="S18" s="28" t="s">
        <v>20</v>
      </c>
      <c r="U18" s="110"/>
      <c r="V18" s="13" t="s">
        <v>29</v>
      </c>
      <c r="W18" s="16">
        <f>+COUNTIF(L5:L41,"Blanco")</f>
        <v>0</v>
      </c>
      <c r="X18" s="127"/>
      <c r="Y18" s="26" t="s">
        <v>29</v>
      </c>
      <c r="Z18" s="52">
        <f>COUNTIFS($C$5:$C$65,"Blanco",$L$5:$L$65,"Si")</f>
        <v>1</v>
      </c>
      <c r="AA18" s="127"/>
      <c r="AB18" s="26" t="s">
        <v>29</v>
      </c>
      <c r="AC18" s="58">
        <f>COUNTIFS($C$5:$C$65,"Blanco",$L$5:$L$65,"No")</f>
        <v>2</v>
      </c>
      <c r="AD18" s="127"/>
      <c r="AE18" s="26" t="s">
        <v>6</v>
      </c>
      <c r="AF18" s="26">
        <f>COUNTIFS($F$5:$F$65,"1",$L$5:$L$65,"Si")</f>
        <v>4</v>
      </c>
      <c r="AG18" s="26" t="s">
        <v>9</v>
      </c>
      <c r="AH18" s="26">
        <f>COUNTIFS($I$5:$I$65,"1",$L$5:$L$65,"Si")</f>
        <v>8</v>
      </c>
      <c r="AI18" s="26"/>
      <c r="AJ18" s="52"/>
      <c r="AK18" s="50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x14ac:dyDescent="0.25">
      <c r="A19" s="3">
        <v>15</v>
      </c>
      <c r="B19" s="29">
        <v>42933</v>
      </c>
      <c r="C19" s="28" t="s">
        <v>23</v>
      </c>
      <c r="D19" s="28"/>
      <c r="E19" s="28"/>
      <c r="F19" s="28"/>
      <c r="G19" s="28"/>
      <c r="H19" s="28"/>
      <c r="I19" s="28">
        <v>1</v>
      </c>
      <c r="J19" s="33" t="s">
        <v>65</v>
      </c>
      <c r="K19" s="33" t="s">
        <v>62</v>
      </c>
      <c r="L19" s="28" t="s">
        <v>20</v>
      </c>
      <c r="M19" s="28" t="s">
        <v>20</v>
      </c>
      <c r="N19" s="28" t="s">
        <v>25</v>
      </c>
      <c r="O19" s="28" t="s">
        <v>25</v>
      </c>
      <c r="P19" s="28" t="s">
        <v>25</v>
      </c>
      <c r="Q19" s="28" t="s">
        <v>27</v>
      </c>
      <c r="R19" s="28" t="s">
        <v>20</v>
      </c>
      <c r="S19" s="28" t="s">
        <v>25</v>
      </c>
      <c r="U19" s="137" t="s">
        <v>37</v>
      </c>
      <c r="V19" s="12" t="s">
        <v>20</v>
      </c>
      <c r="W19" s="14">
        <f>+COUNTIF(M5:M41,"Si")</f>
        <v>29</v>
      </c>
      <c r="X19" s="125" t="s">
        <v>118</v>
      </c>
      <c r="Y19" s="48" t="s">
        <v>114</v>
      </c>
      <c r="Z19" s="49">
        <f>COUNTIFS($C$5:$C$65,"M",$M$5:$M$65,"Si")</f>
        <v>15</v>
      </c>
      <c r="AA19" s="125" t="s">
        <v>117</v>
      </c>
      <c r="AB19" s="48" t="s">
        <v>114</v>
      </c>
      <c r="AC19" s="55">
        <f>COUNTIFS($C$5:$C$65,"M",$M$5:$M$65,"No")</f>
        <v>0</v>
      </c>
      <c r="AD19" s="132" t="s">
        <v>118</v>
      </c>
      <c r="AE19" s="61" t="s">
        <v>4</v>
      </c>
      <c r="AF19" s="48">
        <f>COUNTIFS($D$5:$D$65,"1",$M$5:$M$65,"Si")</f>
        <v>8</v>
      </c>
      <c r="AG19" s="61" t="s">
        <v>7</v>
      </c>
      <c r="AH19" s="48">
        <f>COUNTIFS($G$5:$G$65,"1",$M$5:$M$65,"Si")</f>
        <v>5</v>
      </c>
      <c r="AI19" s="61" t="s">
        <v>29</v>
      </c>
      <c r="AJ19" s="49">
        <f>COUNTIFS($I$5:$I$65,"Blanco",$M$5:$M$65,"Si")</f>
        <v>1</v>
      </c>
      <c r="AK19" s="50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x14ac:dyDescent="0.25">
      <c r="A20" s="3">
        <v>16</v>
      </c>
      <c r="B20" s="29">
        <v>42929</v>
      </c>
      <c r="C20" s="28" t="s">
        <v>30</v>
      </c>
      <c r="D20" s="28"/>
      <c r="E20" s="28"/>
      <c r="F20" s="28"/>
      <c r="G20" s="28"/>
      <c r="H20" s="28"/>
      <c r="I20" s="20" t="s">
        <v>29</v>
      </c>
      <c r="J20" s="33" t="s">
        <v>65</v>
      </c>
      <c r="K20" s="28" t="s">
        <v>63</v>
      </c>
      <c r="L20" s="28" t="s">
        <v>20</v>
      </c>
      <c r="M20" s="28" t="s">
        <v>20</v>
      </c>
      <c r="N20" s="28" t="s">
        <v>25</v>
      </c>
      <c r="O20" s="28" t="s">
        <v>25</v>
      </c>
      <c r="P20" s="28" t="s">
        <v>25</v>
      </c>
      <c r="Q20" s="28" t="s">
        <v>26</v>
      </c>
      <c r="R20" s="28" t="s">
        <v>20</v>
      </c>
      <c r="S20" s="28" t="s">
        <v>25</v>
      </c>
      <c r="U20" s="109"/>
      <c r="V20" s="9" t="s">
        <v>25</v>
      </c>
      <c r="W20" s="15">
        <f>+COUNTIF(M5:M41,"No")</f>
        <v>8</v>
      </c>
      <c r="X20" s="126"/>
      <c r="Y20" s="6" t="s">
        <v>115</v>
      </c>
      <c r="Z20" s="51">
        <f>COUNTIFS($C$5:$C$65,"F",$M$5:$M$65,"Si")</f>
        <v>11</v>
      </c>
      <c r="AA20" s="126"/>
      <c r="AB20" s="6" t="s">
        <v>115</v>
      </c>
      <c r="AC20" s="57">
        <f>COUNTIFS($C$5:$C$65,"F",$M$5:$M$65,"No")</f>
        <v>8</v>
      </c>
      <c r="AD20" s="126"/>
      <c r="AE20" s="6" t="s">
        <v>5</v>
      </c>
      <c r="AF20" s="6">
        <f>COUNTIFS($E$5:$E$65,"1",$M$5:$M$65,"Si")</f>
        <v>1</v>
      </c>
      <c r="AG20" s="39" t="s">
        <v>8</v>
      </c>
      <c r="AH20" s="6">
        <f>COUNTIFS($H$5:$H$65,"1",$M$5:$M$65,"Si")</f>
        <v>2</v>
      </c>
      <c r="AI20" s="6"/>
      <c r="AJ20" s="51"/>
      <c r="AK20" s="50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5.75" thickBot="1" x14ac:dyDescent="0.3">
      <c r="A21" s="3">
        <v>17</v>
      </c>
      <c r="B21" s="29">
        <v>42929</v>
      </c>
      <c r="C21" s="28" t="s">
        <v>23</v>
      </c>
      <c r="D21" s="28"/>
      <c r="E21" s="28"/>
      <c r="F21" s="28"/>
      <c r="G21" s="28"/>
      <c r="H21" s="28">
        <v>1</v>
      </c>
      <c r="I21" s="28"/>
      <c r="J21" s="33" t="s">
        <v>65</v>
      </c>
      <c r="K21" s="28" t="s">
        <v>63</v>
      </c>
      <c r="L21" s="28" t="s">
        <v>25</v>
      </c>
      <c r="M21" s="28" t="s">
        <v>25</v>
      </c>
      <c r="N21" s="28" t="s">
        <v>25</v>
      </c>
      <c r="O21" s="28" t="s">
        <v>25</v>
      </c>
      <c r="P21" s="28" t="s">
        <v>25</v>
      </c>
      <c r="Q21" s="28" t="s">
        <v>34</v>
      </c>
      <c r="R21" s="28" t="s">
        <v>20</v>
      </c>
      <c r="S21" s="28" t="s">
        <v>20</v>
      </c>
      <c r="U21" s="110"/>
      <c r="V21" s="13" t="s">
        <v>29</v>
      </c>
      <c r="W21" s="16">
        <f>+COUNTIF(M5:M41,"Blanco")</f>
        <v>0</v>
      </c>
      <c r="X21" s="127"/>
      <c r="Y21" s="26" t="s">
        <v>29</v>
      </c>
      <c r="Z21" s="52">
        <f>COUNTIFS($C$5:$C$65,"Blanco",$M$5:$M$65,"Si")</f>
        <v>3</v>
      </c>
      <c r="AA21" s="127"/>
      <c r="AB21" s="26" t="s">
        <v>29</v>
      </c>
      <c r="AC21" s="58">
        <f>COUNTIFS($C$5:$C$65,"Blanco",$M$5:$M$65,"No")</f>
        <v>0</v>
      </c>
      <c r="AD21" s="127"/>
      <c r="AE21" s="26" t="s">
        <v>6</v>
      </c>
      <c r="AF21" s="26">
        <f>COUNTIFS($F$5:$F$65,"1",$M$5:$M$65,"Si")</f>
        <v>4</v>
      </c>
      <c r="AG21" s="26" t="s">
        <v>9</v>
      </c>
      <c r="AH21" s="26">
        <f>COUNTIFS($I$5:$I$65,"1",$M$5:$M$65,"Si")</f>
        <v>8</v>
      </c>
      <c r="AI21" s="26"/>
      <c r="AJ21" s="52"/>
      <c r="AK21" s="50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x14ac:dyDescent="0.25">
      <c r="A22" s="3">
        <v>18</v>
      </c>
      <c r="B22" s="29">
        <v>42929</v>
      </c>
      <c r="C22" s="28" t="s">
        <v>23</v>
      </c>
      <c r="D22" s="28"/>
      <c r="E22" s="28">
        <v>1</v>
      </c>
      <c r="F22" s="28"/>
      <c r="G22" s="28"/>
      <c r="H22" s="28"/>
      <c r="I22" s="28"/>
      <c r="J22" s="33" t="s">
        <v>65</v>
      </c>
      <c r="K22" s="28" t="s">
        <v>63</v>
      </c>
      <c r="L22" s="28" t="s">
        <v>25</v>
      </c>
      <c r="M22" s="28" t="s">
        <v>25</v>
      </c>
      <c r="N22" s="28" t="s">
        <v>25</v>
      </c>
      <c r="O22" s="28" t="s">
        <v>25</v>
      </c>
      <c r="P22" s="28" t="s">
        <v>25</v>
      </c>
      <c r="Q22" s="28" t="s">
        <v>34</v>
      </c>
      <c r="R22" s="28" t="s">
        <v>25</v>
      </c>
      <c r="S22" s="28" t="s">
        <v>20</v>
      </c>
      <c r="U22" s="137" t="s">
        <v>38</v>
      </c>
      <c r="V22" s="12" t="s">
        <v>20</v>
      </c>
      <c r="W22" s="14">
        <f>+COUNTIF(N5:N41,"Si")</f>
        <v>5</v>
      </c>
      <c r="X22" s="125" t="s">
        <v>118</v>
      </c>
      <c r="Y22" s="48" t="s">
        <v>114</v>
      </c>
      <c r="Z22" s="49">
        <f>COUNTIFS($C$5:$C$65,"M",$N$5:$N$65,"Si")</f>
        <v>2</v>
      </c>
      <c r="AA22" s="125" t="s">
        <v>117</v>
      </c>
      <c r="AB22" s="48" t="s">
        <v>114</v>
      </c>
      <c r="AC22" s="55">
        <f>COUNTIFS($C$5:$C$65,"M",$N$5:$N$65,"No")</f>
        <v>13</v>
      </c>
      <c r="AD22" s="125" t="s">
        <v>117</v>
      </c>
      <c r="AE22" s="48" t="s">
        <v>4</v>
      </c>
      <c r="AF22" s="48">
        <f>COUNTIFS($D$5:$D$65,"1",$N$5:$N$65,"No")</f>
        <v>7</v>
      </c>
      <c r="AG22" s="48" t="s">
        <v>7</v>
      </c>
      <c r="AH22" s="48">
        <f>COUNTIFS($G$5:$G$65,"1",$N$5:$N$65,"No")</f>
        <v>6</v>
      </c>
      <c r="AI22" s="48" t="s">
        <v>29</v>
      </c>
      <c r="AJ22" s="49">
        <f>COUNTIFS($I$5:$I$65,"Blanco",$N$5:$N$65,"No")</f>
        <v>1</v>
      </c>
      <c r="AK22" s="50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x14ac:dyDescent="0.25">
      <c r="A23" s="3">
        <v>19</v>
      </c>
      <c r="B23" s="29">
        <v>42929</v>
      </c>
      <c r="C23" s="20" t="s">
        <v>29</v>
      </c>
      <c r="D23" s="28">
        <v>1</v>
      </c>
      <c r="E23" s="28"/>
      <c r="F23" s="28"/>
      <c r="G23" s="28"/>
      <c r="H23" s="28"/>
      <c r="I23" s="28"/>
      <c r="J23" s="33" t="s">
        <v>65</v>
      </c>
      <c r="K23" s="28" t="s">
        <v>63</v>
      </c>
      <c r="L23" s="28" t="s">
        <v>25</v>
      </c>
      <c r="M23" s="28" t="s">
        <v>20</v>
      </c>
      <c r="N23" s="28" t="s">
        <v>25</v>
      </c>
      <c r="O23" s="28" t="s">
        <v>25</v>
      </c>
      <c r="P23" s="28" t="s">
        <v>25</v>
      </c>
      <c r="Q23" s="28" t="s">
        <v>34</v>
      </c>
      <c r="R23" s="28" t="s">
        <v>20</v>
      </c>
      <c r="S23" s="28" t="s">
        <v>20</v>
      </c>
      <c r="U23" s="109"/>
      <c r="V23" s="9" t="s">
        <v>25</v>
      </c>
      <c r="W23" s="15">
        <f>+COUNTIF(N5:N41,"No")</f>
        <v>31</v>
      </c>
      <c r="X23" s="126"/>
      <c r="Y23" s="6" t="s">
        <v>115</v>
      </c>
      <c r="Z23" s="51">
        <f>COUNTIFS($C$5:$C$65,"F",$N$5:$N$65,"Si")</f>
        <v>2</v>
      </c>
      <c r="AA23" s="126"/>
      <c r="AB23" s="6" t="s">
        <v>115</v>
      </c>
      <c r="AC23" s="57">
        <f>COUNTIFS($C$5:$C$65,"F",$N$5:$N$65,"No")</f>
        <v>16</v>
      </c>
      <c r="AD23" s="126"/>
      <c r="AE23" s="6" t="s">
        <v>5</v>
      </c>
      <c r="AF23" s="6">
        <f>COUNTIFS($E$5:$E$65,"1",$N$5:$N$65,"No")</f>
        <v>2</v>
      </c>
      <c r="AG23" s="39" t="s">
        <v>8</v>
      </c>
      <c r="AH23" s="6">
        <f>COUNTIFS($H$5:$H$65,"1",$N$5:$N$65,"No")</f>
        <v>4</v>
      </c>
      <c r="AI23" s="6"/>
      <c r="AJ23" s="51"/>
      <c r="AK23" s="50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5.75" thickBot="1" x14ac:dyDescent="0.3">
      <c r="A24" s="3">
        <v>20</v>
      </c>
      <c r="B24" s="29">
        <v>42929</v>
      </c>
      <c r="C24" s="28" t="s">
        <v>30</v>
      </c>
      <c r="D24" s="28">
        <v>1</v>
      </c>
      <c r="E24" s="28"/>
      <c r="F24" s="28"/>
      <c r="G24" s="28"/>
      <c r="H24" s="28"/>
      <c r="I24" s="28"/>
      <c r="J24" s="33" t="s">
        <v>65</v>
      </c>
      <c r="K24" s="28" t="s">
        <v>63</v>
      </c>
      <c r="L24" s="28" t="s">
        <v>20</v>
      </c>
      <c r="M24" s="28" t="s">
        <v>20</v>
      </c>
      <c r="N24" s="28" t="s">
        <v>25</v>
      </c>
      <c r="O24" s="28" t="s">
        <v>25</v>
      </c>
      <c r="P24" s="28" t="s">
        <v>25</v>
      </c>
      <c r="Q24" s="28" t="s">
        <v>28</v>
      </c>
      <c r="R24" s="28" t="s">
        <v>20</v>
      </c>
      <c r="S24" s="28" t="s">
        <v>25</v>
      </c>
      <c r="U24" s="110"/>
      <c r="V24" s="13" t="s">
        <v>29</v>
      </c>
      <c r="W24" s="16">
        <f>+COUNTIF(N5:N41,"Blanco")</f>
        <v>1</v>
      </c>
      <c r="X24" s="127"/>
      <c r="Y24" s="26" t="s">
        <v>29</v>
      </c>
      <c r="Z24" s="52">
        <f>COUNTIFS($C$5:$C$66,"Blanco",$N$5:N66,"Si")</f>
        <v>1</v>
      </c>
      <c r="AA24" s="127"/>
      <c r="AB24" s="26" t="s">
        <v>29</v>
      </c>
      <c r="AC24" s="58">
        <f>COUNTIFS($C$5:$C$65,"Blanco",$N$5:$N$65,"No")</f>
        <v>2</v>
      </c>
      <c r="AD24" s="127"/>
      <c r="AE24" s="26" t="s">
        <v>6</v>
      </c>
      <c r="AF24" s="26">
        <f>COUNTIFS($F$5:$F$65,"1",$N$5:$N$65,"No")</f>
        <v>4</v>
      </c>
      <c r="AG24" s="26" t="s">
        <v>9</v>
      </c>
      <c r="AH24" s="26">
        <f>COUNTIFS($I$5:$I$65,"1",$N$5:$N$65,"No")</f>
        <v>7</v>
      </c>
      <c r="AI24" s="26"/>
      <c r="AJ24" s="52"/>
      <c r="AK24" s="50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x14ac:dyDescent="0.25">
      <c r="A25" s="3">
        <v>21</v>
      </c>
      <c r="B25" s="29">
        <v>42929</v>
      </c>
      <c r="C25" s="28" t="s">
        <v>30</v>
      </c>
      <c r="D25" s="28"/>
      <c r="E25" s="28"/>
      <c r="F25" s="28"/>
      <c r="G25" s="28">
        <v>1</v>
      </c>
      <c r="H25" s="28"/>
      <c r="I25" s="28"/>
      <c r="J25" s="33" t="s">
        <v>65</v>
      </c>
      <c r="K25" s="28" t="s">
        <v>63</v>
      </c>
      <c r="L25" s="28" t="s">
        <v>20</v>
      </c>
      <c r="M25" s="28" t="s">
        <v>20</v>
      </c>
      <c r="N25" s="28" t="s">
        <v>25</v>
      </c>
      <c r="O25" s="28" t="s">
        <v>25</v>
      </c>
      <c r="P25" s="28" t="s">
        <v>25</v>
      </c>
      <c r="Q25" s="28" t="s">
        <v>28</v>
      </c>
      <c r="R25" s="28" t="s">
        <v>25</v>
      </c>
      <c r="S25" s="28" t="s">
        <v>20</v>
      </c>
      <c r="U25" s="137" t="s">
        <v>39</v>
      </c>
      <c r="V25" s="12" t="s">
        <v>20</v>
      </c>
      <c r="W25" s="14">
        <f>+COUNTIF(O5:O41,"Si")</f>
        <v>5</v>
      </c>
      <c r="X25" s="125" t="s">
        <v>118</v>
      </c>
      <c r="Y25" s="48" t="s">
        <v>114</v>
      </c>
      <c r="Z25" s="49">
        <f>COUNTIFS($C$5:$C$65,"M",$O$5:O65,"Si")</f>
        <v>2</v>
      </c>
      <c r="AA25" s="128" t="s">
        <v>117</v>
      </c>
      <c r="AB25" s="19" t="s">
        <v>114</v>
      </c>
      <c r="AC25" s="65">
        <f>COUNTIFS($C$5:$C$65,"M",$O$5:$O$65,"No")</f>
        <v>13</v>
      </c>
      <c r="AD25" s="128" t="s">
        <v>117</v>
      </c>
      <c r="AE25" s="19" t="s">
        <v>4</v>
      </c>
      <c r="AF25" s="19">
        <f>COUNTIFS($D$5:$D$65,"1",$O$5:$O$65,"No")</f>
        <v>8</v>
      </c>
      <c r="AG25" s="19" t="s">
        <v>7</v>
      </c>
      <c r="AH25" s="19">
        <f>COUNTIFS($G$5:$G$65,"1",$O$5:$O$65,"No")</f>
        <v>6</v>
      </c>
      <c r="AI25" s="19" t="s">
        <v>29</v>
      </c>
      <c r="AJ25" s="66">
        <f>COUNTIFS($I$5:$I$65,"Blanco",$O$5:$O$65,"No")</f>
        <v>2</v>
      </c>
      <c r="AK25" s="50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x14ac:dyDescent="0.25">
      <c r="A26" s="3">
        <v>22</v>
      </c>
      <c r="B26" s="29">
        <v>42929</v>
      </c>
      <c r="C26" s="28" t="s">
        <v>23</v>
      </c>
      <c r="D26" s="28"/>
      <c r="E26" s="28"/>
      <c r="F26" s="28"/>
      <c r="G26" s="28">
        <v>1</v>
      </c>
      <c r="H26" s="28"/>
      <c r="I26" s="28"/>
      <c r="J26" s="33" t="s">
        <v>65</v>
      </c>
      <c r="K26" s="28" t="s">
        <v>63</v>
      </c>
      <c r="L26" s="28" t="s">
        <v>25</v>
      </c>
      <c r="M26" s="28" t="s">
        <v>25</v>
      </c>
      <c r="N26" s="28" t="s">
        <v>25</v>
      </c>
      <c r="O26" s="28" t="s">
        <v>25</v>
      </c>
      <c r="P26" s="28" t="s">
        <v>25</v>
      </c>
      <c r="Q26" s="28" t="s">
        <v>26</v>
      </c>
      <c r="R26" s="28" t="s">
        <v>25</v>
      </c>
      <c r="S26" s="28" t="s">
        <v>25</v>
      </c>
      <c r="U26" s="109"/>
      <c r="V26" s="9" t="s">
        <v>25</v>
      </c>
      <c r="W26" s="15">
        <f>+COUNTIF(O5:O41,"No")</f>
        <v>32</v>
      </c>
      <c r="X26" s="126"/>
      <c r="Y26" s="6" t="s">
        <v>115</v>
      </c>
      <c r="Z26" s="51">
        <f>COUNTIFS($C$5:$C$65,"F",$O$5:$O$65,"Si")</f>
        <v>3</v>
      </c>
      <c r="AA26" s="129"/>
      <c r="AB26" s="35" t="s">
        <v>115</v>
      </c>
      <c r="AC26" s="67">
        <f>COUNTIFS($C$2:$C$65,"F",$O$2:$O$65,"No")</f>
        <v>16</v>
      </c>
      <c r="AD26" s="129"/>
      <c r="AE26" s="35" t="s">
        <v>5</v>
      </c>
      <c r="AF26" s="35">
        <f>COUNTIFS($E$5:$E$65,"1",$O$5:$O$65,"No")</f>
        <v>3</v>
      </c>
      <c r="AG26" s="9" t="s">
        <v>8</v>
      </c>
      <c r="AH26" s="35">
        <f>COUNTIFS($H$5:$H$65,"1",$O$5:$O$65,"No")</f>
        <v>4</v>
      </c>
      <c r="AI26" s="35"/>
      <c r="AJ26" s="68"/>
      <c r="AK26" s="50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5.75" thickBot="1" x14ac:dyDescent="0.3">
      <c r="A27" s="3">
        <v>23</v>
      </c>
      <c r="B27" s="29">
        <v>42929</v>
      </c>
      <c r="C27" s="28" t="s">
        <v>23</v>
      </c>
      <c r="D27" s="28">
        <v>1</v>
      </c>
      <c r="E27" s="28"/>
      <c r="F27" s="28"/>
      <c r="G27" s="28"/>
      <c r="H27" s="28"/>
      <c r="I27" s="28"/>
      <c r="J27" s="33" t="s">
        <v>65</v>
      </c>
      <c r="K27" s="28" t="s">
        <v>63</v>
      </c>
      <c r="L27" s="28" t="s">
        <v>20</v>
      </c>
      <c r="M27" s="28" t="s">
        <v>20</v>
      </c>
      <c r="N27" s="28" t="s">
        <v>20</v>
      </c>
      <c r="O27" s="28" t="s">
        <v>25</v>
      </c>
      <c r="P27" s="28" t="s">
        <v>25</v>
      </c>
      <c r="Q27" s="28" t="s">
        <v>26</v>
      </c>
      <c r="R27" s="28" t="s">
        <v>20</v>
      </c>
      <c r="S27" s="20" t="s">
        <v>29</v>
      </c>
      <c r="U27" s="110"/>
      <c r="V27" s="13" t="s">
        <v>29</v>
      </c>
      <c r="W27" s="16">
        <f>+COUNTIF(O5:O41,"Blanco")</f>
        <v>0</v>
      </c>
      <c r="X27" s="127"/>
      <c r="Y27" s="26" t="s">
        <v>29</v>
      </c>
      <c r="Z27" s="52">
        <f>COUNTIFS($C$5:$C$65,"Blanco",$O$5:$O$65,"Si")</f>
        <v>0</v>
      </c>
      <c r="AA27" s="130"/>
      <c r="AB27" s="27" t="s">
        <v>29</v>
      </c>
      <c r="AC27" s="69">
        <f>COUNTIFS($C$2:$C$65,"Blanco",$O$2:$O$65,"No")</f>
        <v>3</v>
      </c>
      <c r="AD27" s="130"/>
      <c r="AE27" s="27" t="s">
        <v>6</v>
      </c>
      <c r="AF27" s="27">
        <f>COUNTIFS($F$5:$F$65,"1",$O$5:$O$65,"No")</f>
        <v>3</v>
      </c>
      <c r="AG27" s="27" t="s">
        <v>9</v>
      </c>
      <c r="AH27" s="27">
        <f>COUNTIFS($I$5:$I$65,"1",$O$5:$O$65,"No")</f>
        <v>6</v>
      </c>
      <c r="AI27" s="27"/>
      <c r="AJ27" s="70"/>
      <c r="AK27" s="50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x14ac:dyDescent="0.25">
      <c r="A28" s="3">
        <v>24</v>
      </c>
      <c r="B28" s="29">
        <v>42929</v>
      </c>
      <c r="C28" s="28" t="s">
        <v>23</v>
      </c>
      <c r="D28" s="28"/>
      <c r="E28" s="28"/>
      <c r="F28" s="28"/>
      <c r="G28" s="28">
        <v>1</v>
      </c>
      <c r="H28" s="28"/>
      <c r="I28" s="28"/>
      <c r="J28" s="33" t="s">
        <v>65</v>
      </c>
      <c r="K28" s="28" t="s">
        <v>63</v>
      </c>
      <c r="L28" s="28" t="s">
        <v>20</v>
      </c>
      <c r="M28" s="28" t="s">
        <v>20</v>
      </c>
      <c r="N28" s="28" t="s">
        <v>25</v>
      </c>
      <c r="O28" s="28" t="s">
        <v>25</v>
      </c>
      <c r="P28" s="28" t="s">
        <v>25</v>
      </c>
      <c r="Q28" s="28" t="s">
        <v>26</v>
      </c>
      <c r="R28" s="28" t="s">
        <v>20</v>
      </c>
      <c r="S28" s="28" t="s">
        <v>20</v>
      </c>
      <c r="U28" s="137" t="s">
        <v>40</v>
      </c>
      <c r="V28" s="12" t="s">
        <v>20</v>
      </c>
      <c r="W28" s="14">
        <f>+COUNTIF(P5:P41,"Si")</f>
        <v>7</v>
      </c>
      <c r="X28" s="125" t="s">
        <v>118</v>
      </c>
      <c r="Y28" s="48" t="s">
        <v>114</v>
      </c>
      <c r="Z28" s="49">
        <f>COUNTIFS($C$5:$C$65,"M",$P$5:$P$65,"Si")</f>
        <v>2</v>
      </c>
      <c r="AA28" s="128" t="s">
        <v>117</v>
      </c>
      <c r="AB28" s="19" t="s">
        <v>114</v>
      </c>
      <c r="AC28" s="65">
        <f>COUNTIFS($C$5:$C$65,"M",$P$5:$P$65,"No")</f>
        <v>13</v>
      </c>
      <c r="AD28" s="128" t="s">
        <v>117</v>
      </c>
      <c r="AE28" s="19" t="s">
        <v>4</v>
      </c>
      <c r="AF28" s="19">
        <f>COUNTIFS($D$5:$D$65,"1",$P$5:$P$65,"No")</f>
        <v>7</v>
      </c>
      <c r="AG28" s="19" t="s">
        <v>7</v>
      </c>
      <c r="AH28" s="19">
        <f>COUNTIFS($G$5:$G$65,"1",$P$5:$P$65,"No")</f>
        <v>6</v>
      </c>
      <c r="AI28" s="19" t="s">
        <v>29</v>
      </c>
      <c r="AJ28" s="66">
        <f>COUNTIFS($I$5:$I$65,"Blanco",$P$5:$P$65,"No")</f>
        <v>2</v>
      </c>
      <c r="AK28" s="50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x14ac:dyDescent="0.25">
      <c r="A29" s="3">
        <v>25</v>
      </c>
      <c r="B29" s="29">
        <v>42929</v>
      </c>
      <c r="C29" s="28" t="s">
        <v>30</v>
      </c>
      <c r="D29" s="28"/>
      <c r="E29" s="28"/>
      <c r="F29" s="28"/>
      <c r="G29" s="28"/>
      <c r="H29" s="28">
        <v>1</v>
      </c>
      <c r="I29" s="28"/>
      <c r="J29" s="33" t="s">
        <v>65</v>
      </c>
      <c r="K29" s="28" t="s">
        <v>63</v>
      </c>
      <c r="L29" s="28" t="s">
        <v>20</v>
      </c>
      <c r="M29" s="28" t="s">
        <v>20</v>
      </c>
      <c r="N29" s="28" t="s">
        <v>25</v>
      </c>
      <c r="O29" s="28" t="s">
        <v>25</v>
      </c>
      <c r="P29" s="28" t="s">
        <v>25</v>
      </c>
      <c r="Q29" s="28" t="s">
        <v>27</v>
      </c>
      <c r="R29" s="28" t="s">
        <v>25</v>
      </c>
      <c r="S29" s="28" t="s">
        <v>20</v>
      </c>
      <c r="U29" s="109"/>
      <c r="V29" s="9" t="s">
        <v>25</v>
      </c>
      <c r="W29" s="15">
        <f>+COUNTIF(P5:P41,"No")</f>
        <v>30</v>
      </c>
      <c r="X29" s="126"/>
      <c r="Y29" s="6" t="s">
        <v>115</v>
      </c>
      <c r="Z29" s="51">
        <f>COUNTIFS($C$5:$C$65,"F",$P$5:$P$65,"Si")</f>
        <v>4</v>
      </c>
      <c r="AA29" s="129"/>
      <c r="AB29" s="35" t="s">
        <v>115</v>
      </c>
      <c r="AC29" s="67">
        <f>COUNTIFS($C$5:$C$65,"F",$P$5:$P$65,"NO")</f>
        <v>15</v>
      </c>
      <c r="AD29" s="129"/>
      <c r="AE29" s="35" t="s">
        <v>5</v>
      </c>
      <c r="AF29" s="35">
        <f>COUNTIFS($E$5:$E$65,"1",$P$5:$P$65,"No")</f>
        <v>2</v>
      </c>
      <c r="AG29" s="9" t="s">
        <v>8</v>
      </c>
      <c r="AH29" s="35">
        <f>COUNTIFS($H$5:$H$65,"1",$P$5:$P$65,"No")</f>
        <v>4</v>
      </c>
      <c r="AI29" s="35"/>
      <c r="AJ29" s="68"/>
      <c r="AK29" s="50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5.75" thickBot="1" x14ac:dyDescent="0.3">
      <c r="A30" s="3">
        <v>26</v>
      </c>
      <c r="B30" s="29">
        <v>42927</v>
      </c>
      <c r="C30" s="28" t="s">
        <v>23</v>
      </c>
      <c r="D30" s="28"/>
      <c r="E30" s="28"/>
      <c r="F30" s="28">
        <v>1</v>
      </c>
      <c r="G30" s="28"/>
      <c r="H30" s="28"/>
      <c r="I30" s="28"/>
      <c r="J30" s="33" t="s">
        <v>65</v>
      </c>
      <c r="K30" s="28" t="s">
        <v>64</v>
      </c>
      <c r="L30" s="28" t="s">
        <v>20</v>
      </c>
      <c r="M30" s="28" t="s">
        <v>20</v>
      </c>
      <c r="N30" s="28" t="s">
        <v>25</v>
      </c>
      <c r="O30" s="28" t="s">
        <v>25</v>
      </c>
      <c r="P30" s="28" t="s">
        <v>25</v>
      </c>
      <c r="Q30" s="28" t="s">
        <v>26</v>
      </c>
      <c r="R30" s="28" t="s">
        <v>20</v>
      </c>
      <c r="S30" s="28" t="s">
        <v>20</v>
      </c>
      <c r="U30" s="110"/>
      <c r="V30" s="13" t="s">
        <v>29</v>
      </c>
      <c r="W30" s="16">
        <f>+COUNTIF(P5:P41,"Blanco")</f>
        <v>0</v>
      </c>
      <c r="X30" s="154"/>
      <c r="Y30" s="34" t="s">
        <v>29</v>
      </c>
      <c r="Z30" s="53">
        <f>COUNTIFS($C$5:$C$65,"Blanco",$P$5:$P$65,"Si")</f>
        <v>1</v>
      </c>
      <c r="AA30" s="153"/>
      <c r="AB30" s="71" t="s">
        <v>29</v>
      </c>
      <c r="AC30" s="72">
        <f>COUNTIFS($C$5:$C$65,"Blanco",$P$5:$P$65,"No")</f>
        <v>2</v>
      </c>
      <c r="AD30" s="130"/>
      <c r="AE30" s="27" t="s">
        <v>6</v>
      </c>
      <c r="AF30" s="27">
        <f>COUNTIFS($F$5:$F$65,"1",$P$5:$P$65,"No")</f>
        <v>2</v>
      </c>
      <c r="AG30" s="71" t="s">
        <v>9</v>
      </c>
      <c r="AH30" s="71">
        <f>COUNTIFS($I$5:$I$65,"1",$P$5:$P$65,"No")</f>
        <v>7</v>
      </c>
      <c r="AI30" s="71"/>
      <c r="AJ30" s="73"/>
      <c r="AK30" s="5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</row>
    <row r="31" spans="1:50" x14ac:dyDescent="0.25">
      <c r="A31" s="3">
        <v>27</v>
      </c>
      <c r="B31" s="29">
        <v>42927</v>
      </c>
      <c r="C31" s="28" t="s">
        <v>23</v>
      </c>
      <c r="D31" s="28"/>
      <c r="E31" s="28">
        <v>1</v>
      </c>
      <c r="F31" s="28"/>
      <c r="G31" s="28"/>
      <c r="H31" s="28"/>
      <c r="I31" s="28"/>
      <c r="J31" s="33" t="s">
        <v>65</v>
      </c>
      <c r="K31" s="28" t="s">
        <v>64</v>
      </c>
      <c r="L31" s="28" t="s">
        <v>20</v>
      </c>
      <c r="M31" s="28" t="s">
        <v>25</v>
      </c>
      <c r="N31" s="28" t="s">
        <v>25</v>
      </c>
      <c r="O31" s="28" t="s">
        <v>25</v>
      </c>
      <c r="P31" s="28" t="s">
        <v>25</v>
      </c>
      <c r="Q31" s="28" t="s">
        <v>26</v>
      </c>
      <c r="R31" s="28" t="s">
        <v>20</v>
      </c>
      <c r="S31" s="28" t="s">
        <v>20</v>
      </c>
      <c r="U31" s="137" t="s">
        <v>41</v>
      </c>
      <c r="V31" s="12" t="s">
        <v>27</v>
      </c>
      <c r="W31" s="14">
        <f>+COUNTIF(Q5:Q41,"Elevada")</f>
        <v>10</v>
      </c>
      <c r="X31" s="125" t="s">
        <v>116</v>
      </c>
      <c r="Y31" s="48" t="s">
        <v>114</v>
      </c>
      <c r="Z31" s="49">
        <f>COUNTIFS($C$5:$C$65,"M",$Q$5:$Q$65,"Elevada")</f>
        <v>6</v>
      </c>
      <c r="AA31" s="125" t="s">
        <v>119</v>
      </c>
      <c r="AB31" s="48" t="s">
        <v>114</v>
      </c>
      <c r="AC31" s="49">
        <f>COUNTIFS($C$5:$C$65,"M",$Q$5:$Q$65,"Alguna")</f>
        <v>5</v>
      </c>
      <c r="AD31" s="125" t="s">
        <v>120</v>
      </c>
      <c r="AE31" s="48" t="s">
        <v>114</v>
      </c>
      <c r="AF31" s="49">
        <f>COUNTIFS($C$5:$C$65,"M",$Q$5:$Q$65,"Poca")</f>
        <v>3</v>
      </c>
      <c r="AG31" s="125" t="s">
        <v>121</v>
      </c>
      <c r="AH31" s="48" t="s">
        <v>114</v>
      </c>
      <c r="AI31" s="55">
        <f>COUNTIFS($C$5:$C$65,"M",$Q$5:$Q$65,"Ninguna")</f>
        <v>1</v>
      </c>
      <c r="AJ31" s="55"/>
      <c r="AK31" s="125" t="s">
        <v>122</v>
      </c>
      <c r="AL31" s="56" t="s">
        <v>4</v>
      </c>
      <c r="AM31" s="48">
        <f>COUNTIFS($D$5:$D$65,"1",$Q$5:$Q$65,"Elevada")</f>
        <v>3</v>
      </c>
      <c r="AN31" s="48" t="s">
        <v>7</v>
      </c>
      <c r="AO31" s="48">
        <f>COUNTIFS($G$5:$G$65,"1",$Q$5:$Q$65,"Elevada")</f>
        <v>0</v>
      </c>
      <c r="AP31" s="48" t="s">
        <v>29</v>
      </c>
      <c r="AQ31" s="49">
        <f>COUNTIFS($I$5:$I$65,"Blanco",$Q$5:$Q$65,"Elevada")</f>
        <v>0</v>
      </c>
      <c r="AR31" s="125" t="s">
        <v>119</v>
      </c>
      <c r="AS31" s="48" t="s">
        <v>4</v>
      </c>
      <c r="AT31" s="48">
        <f>COUNTIFS($D$5:$D$65,"1",$Q$5:$Q$65,"Alguna")</f>
        <v>3</v>
      </c>
      <c r="AU31" s="48" t="s">
        <v>7</v>
      </c>
      <c r="AV31" s="48">
        <f>COUNTIFS($G$5:$G$65,"1",$Q$5:$Q$65,"Alguna")</f>
        <v>3</v>
      </c>
      <c r="AW31" s="48" t="s">
        <v>29</v>
      </c>
      <c r="AX31" s="49">
        <f>COUNTIFS($I$5:$I$65,"Blanco",$Q$5:$Q$65,"Alguna")</f>
        <v>0</v>
      </c>
    </row>
    <row r="32" spans="1:50" x14ac:dyDescent="0.25">
      <c r="A32" s="3">
        <v>28</v>
      </c>
      <c r="B32" s="29">
        <v>42927</v>
      </c>
      <c r="C32" s="28" t="s">
        <v>30</v>
      </c>
      <c r="D32" s="28"/>
      <c r="E32" s="28"/>
      <c r="F32" s="28"/>
      <c r="G32" s="28">
        <v>1</v>
      </c>
      <c r="H32" s="28"/>
      <c r="I32" s="28"/>
      <c r="J32" s="33" t="s">
        <v>65</v>
      </c>
      <c r="K32" s="28" t="s">
        <v>64</v>
      </c>
      <c r="L32" s="28" t="s">
        <v>20</v>
      </c>
      <c r="M32" s="28" t="s">
        <v>20</v>
      </c>
      <c r="N32" s="28" t="s">
        <v>25</v>
      </c>
      <c r="O32" s="28" t="s">
        <v>25</v>
      </c>
      <c r="P32" s="28" t="s">
        <v>25</v>
      </c>
      <c r="Q32" s="28" t="s">
        <v>34</v>
      </c>
      <c r="R32" s="28" t="s">
        <v>20</v>
      </c>
      <c r="S32" s="28" t="s">
        <v>25</v>
      </c>
      <c r="U32" s="109"/>
      <c r="V32" s="9" t="s">
        <v>28</v>
      </c>
      <c r="W32" s="15">
        <f>+COUNTIF(Q5:Q41,"Alguna")</f>
        <v>10</v>
      </c>
      <c r="X32" s="126"/>
      <c r="Y32" s="6" t="s">
        <v>115</v>
      </c>
      <c r="Z32" s="51">
        <f>COUNTIFS($C$5:$C$65,"F",$Q$5:$Q$65,"Elevada")</f>
        <v>4</v>
      </c>
      <c r="AA32" s="126"/>
      <c r="AB32" s="6" t="s">
        <v>115</v>
      </c>
      <c r="AC32" s="51">
        <f>COUNTIFS($C$5:$C$65,"F",$Q$5:$Q$65,"Alguna")</f>
        <v>3</v>
      </c>
      <c r="AD32" s="126"/>
      <c r="AE32" s="6" t="s">
        <v>115</v>
      </c>
      <c r="AF32" s="51">
        <f>COUNTIFS($C$5:$C$65,"F",$Q$5:$Q$65,"Poca")</f>
        <v>9</v>
      </c>
      <c r="AG32" s="126"/>
      <c r="AH32" s="6" t="s">
        <v>115</v>
      </c>
      <c r="AI32" s="57">
        <f>COUNTIFS($C$5:$C$65,"F",$Q$5:$Q$65,"Ninguna")</f>
        <v>3</v>
      </c>
      <c r="AJ32" s="57"/>
      <c r="AK32" s="126"/>
      <c r="AL32" s="50" t="s">
        <v>5</v>
      </c>
      <c r="AM32" s="6">
        <f>COUNTIFS($E$5:$E$65,"1",$Q$5:$Q$65,"Elevada")</f>
        <v>0</v>
      </c>
      <c r="AN32" s="39" t="s">
        <v>8</v>
      </c>
      <c r="AO32" s="6">
        <f>COUNTIFS($H$5:$H$65,"1",$Q$5:$Q$65,"Elevada")</f>
        <v>1</v>
      </c>
      <c r="AP32" s="6"/>
      <c r="AQ32" s="51"/>
      <c r="AR32" s="126"/>
      <c r="AS32" s="6" t="s">
        <v>5</v>
      </c>
      <c r="AT32" s="6">
        <f>COUNTIFS($E$5:$E$65,"1",$Q$5:$Q$65,"Alguna")</f>
        <v>0</v>
      </c>
      <c r="AU32" s="39" t="s">
        <v>8</v>
      </c>
      <c r="AV32" s="6">
        <f>COUNTIFS($H$5:$H$65,"1",$Q$5:$Q$65,"Alguna")</f>
        <v>1</v>
      </c>
      <c r="AW32" s="6"/>
      <c r="AX32" s="51"/>
    </row>
    <row r="33" spans="1:50" ht="15.75" thickBot="1" x14ac:dyDescent="0.3">
      <c r="A33" s="3">
        <v>29</v>
      </c>
      <c r="B33" s="29">
        <v>42927</v>
      </c>
      <c r="C33" s="28" t="s">
        <v>23</v>
      </c>
      <c r="D33" s="28">
        <v>1</v>
      </c>
      <c r="E33" s="28"/>
      <c r="F33" s="28"/>
      <c r="G33" s="28"/>
      <c r="H33" s="28"/>
      <c r="I33" s="28"/>
      <c r="J33" s="33" t="s">
        <v>65</v>
      </c>
      <c r="K33" s="28" t="s">
        <v>64</v>
      </c>
      <c r="L33" s="28" t="s">
        <v>20</v>
      </c>
      <c r="M33" s="28" t="s">
        <v>20</v>
      </c>
      <c r="N33" s="28" t="s">
        <v>25</v>
      </c>
      <c r="O33" s="28" t="s">
        <v>25</v>
      </c>
      <c r="P33" s="28" t="s">
        <v>20</v>
      </c>
      <c r="Q33" s="28" t="s">
        <v>27</v>
      </c>
      <c r="R33" s="28" t="s">
        <v>20</v>
      </c>
      <c r="S33" s="28" t="s">
        <v>25</v>
      </c>
      <c r="U33" s="109"/>
      <c r="V33" s="9" t="s">
        <v>26</v>
      </c>
      <c r="W33" s="15">
        <f>+COUNTIF(Q5:Q41,"Poca")</f>
        <v>12</v>
      </c>
      <c r="X33" s="127"/>
      <c r="Y33" s="26" t="s">
        <v>29</v>
      </c>
      <c r="Z33" s="52">
        <f>COUNTIFS($C$5:$C$65,"Blanco",Q5:Q65,"Elevada")</f>
        <v>0</v>
      </c>
      <c r="AA33" s="127"/>
      <c r="AB33" s="26" t="s">
        <v>29</v>
      </c>
      <c r="AC33" s="52">
        <f>COUNTIFS($C$5:$C$65,"Blanco",$Q$5:$Q$65,"Alguna")</f>
        <v>2</v>
      </c>
      <c r="AD33" s="127"/>
      <c r="AE33" s="26" t="s">
        <v>29</v>
      </c>
      <c r="AF33" s="52">
        <f>COUNTIFS($C$5:$C$65,"Blanco",$Q$5:$Q$65,"Poca")</f>
        <v>0</v>
      </c>
      <c r="AG33" s="127"/>
      <c r="AH33" s="26" t="s">
        <v>29</v>
      </c>
      <c r="AI33" s="58">
        <f>COUNTIFS($C$5:$C$65,"Blanco",$Q$5:$Q$65,"Ninguna")</f>
        <v>1</v>
      </c>
      <c r="AJ33" s="58"/>
      <c r="AK33" s="127"/>
      <c r="AL33" s="59" t="s">
        <v>6</v>
      </c>
      <c r="AM33" s="26">
        <f>COUNTIFS($F$5:$F$65,"1",$Q$5:$Q$65,"Elevada")</f>
        <v>0</v>
      </c>
      <c r="AN33" s="26" t="s">
        <v>9</v>
      </c>
      <c r="AO33" s="26">
        <f>COUNTIFS(I5:$I$65,"1",$Q$5:$Q$65,"Elevada")</f>
        <v>6</v>
      </c>
      <c r="AP33" s="26"/>
      <c r="AQ33" s="52"/>
      <c r="AR33" s="127"/>
      <c r="AS33" s="26" t="s">
        <v>6</v>
      </c>
      <c r="AT33" s="26">
        <f>COUNTIFS($F$5:$F$65,"1",$Q$5:$Q$65,"Alguna")</f>
        <v>2</v>
      </c>
      <c r="AU33" s="26" t="s">
        <v>9</v>
      </c>
      <c r="AV33" s="26">
        <f>COUNTIFS($I$5:$I$65,"1",$Q$5:$Q$65,"Alguna")</f>
        <v>1</v>
      </c>
      <c r="AW33" s="26"/>
      <c r="AX33" s="52"/>
    </row>
    <row r="34" spans="1:50" ht="15.75" thickBot="1" x14ac:dyDescent="0.3">
      <c r="A34" s="3">
        <v>30</v>
      </c>
      <c r="B34" s="29">
        <v>42927</v>
      </c>
      <c r="C34" s="28" t="s">
        <v>23</v>
      </c>
      <c r="D34" s="28"/>
      <c r="E34" s="28"/>
      <c r="F34" s="28"/>
      <c r="G34" s="28"/>
      <c r="H34" s="28"/>
      <c r="I34" s="20" t="s">
        <v>29</v>
      </c>
      <c r="J34" s="33" t="s">
        <v>65</v>
      </c>
      <c r="K34" s="28" t="s">
        <v>64</v>
      </c>
      <c r="L34" s="28" t="s">
        <v>25</v>
      </c>
      <c r="M34" s="28" t="s">
        <v>25</v>
      </c>
      <c r="N34" s="20" t="s">
        <v>29</v>
      </c>
      <c r="O34" s="28" t="s">
        <v>25</v>
      </c>
      <c r="P34" s="28" t="s">
        <v>25</v>
      </c>
      <c r="Q34" s="28" t="s">
        <v>26</v>
      </c>
      <c r="R34" s="28" t="s">
        <v>31</v>
      </c>
      <c r="S34" s="28" t="s">
        <v>20</v>
      </c>
      <c r="U34" s="110"/>
      <c r="V34" s="13" t="s">
        <v>34</v>
      </c>
      <c r="W34" s="16">
        <f>+COUNTIF(Q5:Q41,"Ninguna")</f>
        <v>5</v>
      </c>
      <c r="X34" s="47"/>
      <c r="Y34" s="60"/>
      <c r="Z34" s="62"/>
      <c r="AA34" s="63"/>
      <c r="AB34" s="60"/>
      <c r="AC34" s="64"/>
      <c r="AD34" s="60"/>
      <c r="AE34" s="60"/>
      <c r="AG34" s="60"/>
      <c r="AH34" s="60"/>
      <c r="AI34" s="60"/>
      <c r="AJ34" s="60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</row>
    <row r="35" spans="1:50" x14ac:dyDescent="0.25">
      <c r="A35" s="3">
        <v>31</v>
      </c>
      <c r="B35" s="29">
        <v>42927</v>
      </c>
      <c r="C35" s="28" t="s">
        <v>30</v>
      </c>
      <c r="D35" s="28"/>
      <c r="E35" s="28"/>
      <c r="F35" s="28"/>
      <c r="G35" s="28"/>
      <c r="H35" s="28"/>
      <c r="I35" s="28">
        <v>1</v>
      </c>
      <c r="J35" s="33" t="s">
        <v>65</v>
      </c>
      <c r="K35" s="28" t="s">
        <v>64</v>
      </c>
      <c r="L35" s="28" t="s">
        <v>20</v>
      </c>
      <c r="M35" s="28" t="s">
        <v>20</v>
      </c>
      <c r="N35" s="28" t="s">
        <v>25</v>
      </c>
      <c r="O35" s="28" t="s">
        <v>25</v>
      </c>
      <c r="P35" s="28" t="s">
        <v>25</v>
      </c>
      <c r="Q35" s="28" t="s">
        <v>27</v>
      </c>
      <c r="R35" s="28" t="s">
        <v>25</v>
      </c>
      <c r="S35" s="28" t="s">
        <v>20</v>
      </c>
      <c r="U35" s="137" t="s">
        <v>42</v>
      </c>
      <c r="V35" s="12" t="s">
        <v>20</v>
      </c>
      <c r="W35" s="14">
        <f>+COUNTIF(R5:R41,"Si")</f>
        <v>23</v>
      </c>
      <c r="X35" s="125" t="s">
        <v>118</v>
      </c>
      <c r="Y35" s="48" t="s">
        <v>114</v>
      </c>
      <c r="Z35" s="49">
        <f>COUNTIFS($C$5:$C$65,"M",$R$5:$R$65,"Si")</f>
        <v>9</v>
      </c>
      <c r="AA35" s="125" t="s">
        <v>117</v>
      </c>
      <c r="AB35" s="48" t="s">
        <v>114</v>
      </c>
      <c r="AC35" s="55">
        <f>COUNTIFS($C$5:$C$65,"M",$R$5:$R$65,"No")</f>
        <v>6</v>
      </c>
      <c r="AD35" s="125" t="s">
        <v>118</v>
      </c>
      <c r="AE35" s="48" t="s">
        <v>4</v>
      </c>
      <c r="AF35" s="48">
        <f>COUNTIFS($D$5:$D$65,"1",$R$5:$R$65,"Si")</f>
        <v>9</v>
      </c>
      <c r="AG35" s="48" t="s">
        <v>7</v>
      </c>
      <c r="AH35" s="48">
        <f>COUNTIFS($G$5:$G$65,"1",$R$5:$R$65,"Si")</f>
        <v>3</v>
      </c>
      <c r="AI35" s="48" t="s">
        <v>29</v>
      </c>
      <c r="AJ35" s="49">
        <f>COUNTIFS($I$5:$I$65,"Blanco",$R$5:$R$65,"Si")</f>
        <v>1</v>
      </c>
      <c r="AK35" s="50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x14ac:dyDescent="0.25">
      <c r="A36" s="3">
        <v>32</v>
      </c>
      <c r="B36" s="29">
        <v>42927</v>
      </c>
      <c r="C36" s="20" t="s">
        <v>29</v>
      </c>
      <c r="D36" s="28"/>
      <c r="E36" s="28"/>
      <c r="F36" s="28">
        <v>1</v>
      </c>
      <c r="G36" s="28"/>
      <c r="H36" s="28"/>
      <c r="I36" s="28"/>
      <c r="J36" s="33" t="s">
        <v>65</v>
      </c>
      <c r="K36" s="28" t="s">
        <v>64</v>
      </c>
      <c r="L36" s="28" t="s">
        <v>20</v>
      </c>
      <c r="M36" s="28" t="s">
        <v>20</v>
      </c>
      <c r="N36" s="28" t="s">
        <v>20</v>
      </c>
      <c r="O36" s="28" t="s">
        <v>25</v>
      </c>
      <c r="P36" s="28" t="s">
        <v>20</v>
      </c>
      <c r="Q36" s="28" t="s">
        <v>28</v>
      </c>
      <c r="R36" s="28" t="s">
        <v>25</v>
      </c>
      <c r="S36" s="28" t="s">
        <v>25</v>
      </c>
      <c r="U36" s="109"/>
      <c r="V36" s="9" t="s">
        <v>25</v>
      </c>
      <c r="W36" s="15">
        <f>+COUNTIF(R5:R41,"No")</f>
        <v>14</v>
      </c>
      <c r="X36" s="126"/>
      <c r="Y36" s="6" t="s">
        <v>115</v>
      </c>
      <c r="Z36" s="51">
        <f>COUNTIFS($C$5:$C$65,"F",$R$5:$R$65,"Si")</f>
        <v>13</v>
      </c>
      <c r="AA36" s="126"/>
      <c r="AB36" s="6" t="s">
        <v>115</v>
      </c>
      <c r="AC36" s="57">
        <f>COUNTIFS($C$5:$C$65,"F",$R$5:$R$65,"No")</f>
        <v>6</v>
      </c>
      <c r="AD36" s="126"/>
      <c r="AE36" s="6" t="s">
        <v>5</v>
      </c>
      <c r="AF36" s="6">
        <f>COUNTIFS($E$5:$E$65,"1",$R$5:$R$65,"Si")</f>
        <v>2</v>
      </c>
      <c r="AG36" s="39" t="s">
        <v>8</v>
      </c>
      <c r="AH36" s="6">
        <f>COUNTIFS($H$5:$H$65,"1",$R$5:$R$65,"Si")</f>
        <v>1</v>
      </c>
      <c r="AI36" s="6"/>
      <c r="AJ36" s="51"/>
      <c r="AK36" s="50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15.75" thickBot="1" x14ac:dyDescent="0.3">
      <c r="A37" s="3">
        <v>33</v>
      </c>
      <c r="B37" s="29" t="s">
        <v>29</v>
      </c>
      <c r="C37" s="28" t="s">
        <v>23</v>
      </c>
      <c r="D37" s="28"/>
      <c r="E37" s="28"/>
      <c r="F37" s="28"/>
      <c r="G37" s="28"/>
      <c r="H37" s="28">
        <v>1</v>
      </c>
      <c r="I37" s="28"/>
      <c r="J37" s="33" t="s">
        <v>65</v>
      </c>
      <c r="K37" s="28" t="s">
        <v>64</v>
      </c>
      <c r="L37" s="28" t="s">
        <v>20</v>
      </c>
      <c r="M37" s="28" t="s">
        <v>20</v>
      </c>
      <c r="N37" s="28" t="s">
        <v>25</v>
      </c>
      <c r="O37" s="28" t="s">
        <v>25</v>
      </c>
      <c r="P37" s="28" t="s">
        <v>25</v>
      </c>
      <c r="Q37" s="28" t="s">
        <v>26</v>
      </c>
      <c r="R37" s="28" t="s">
        <v>25</v>
      </c>
      <c r="S37" s="28" t="s">
        <v>20</v>
      </c>
      <c r="U37" s="110"/>
      <c r="V37" s="13" t="s">
        <v>29</v>
      </c>
      <c r="W37" s="16">
        <f>+COUNTIF(R5:R41,"Blanco")</f>
        <v>0</v>
      </c>
      <c r="X37" s="127"/>
      <c r="Y37" s="26" t="s">
        <v>29</v>
      </c>
      <c r="Z37" s="52">
        <f>COUNTIFS($C$5:$C$65,"Blanco",$R$5:$R$65,"Si")</f>
        <v>1</v>
      </c>
      <c r="AA37" s="127"/>
      <c r="AB37" s="26" t="s">
        <v>29</v>
      </c>
      <c r="AC37" s="58">
        <f>COUNTIFS($C$5:$C$65,"Blanco",$R$5:$R$65,"No")</f>
        <v>2</v>
      </c>
      <c r="AD37" s="127"/>
      <c r="AE37" s="26" t="s">
        <v>6</v>
      </c>
      <c r="AF37" s="26">
        <f>COUNTIFS($F$5:$F$65,"1",$R$5:$R$65,"Si")</f>
        <v>4</v>
      </c>
      <c r="AG37" s="26" t="s">
        <v>9</v>
      </c>
      <c r="AH37" s="26">
        <f>COUNTIFS($I$5:$I$65,"1",$R$5:$R$65,"Si")</f>
        <v>3</v>
      </c>
      <c r="AI37" s="26"/>
      <c r="AJ37" s="52"/>
      <c r="AK37" s="50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x14ac:dyDescent="0.25">
      <c r="A38" s="3">
        <v>34</v>
      </c>
      <c r="B38" s="29">
        <v>42927</v>
      </c>
      <c r="C38" s="28" t="s">
        <v>30</v>
      </c>
      <c r="D38" s="28"/>
      <c r="E38" s="28"/>
      <c r="F38" s="28"/>
      <c r="G38" s="28"/>
      <c r="H38" s="28"/>
      <c r="I38" s="28">
        <v>1</v>
      </c>
      <c r="J38" s="33" t="s">
        <v>65</v>
      </c>
      <c r="K38" s="28" t="s">
        <v>64</v>
      </c>
      <c r="L38" s="28" t="s">
        <v>20</v>
      </c>
      <c r="M38" s="28" t="s">
        <v>20</v>
      </c>
      <c r="N38" s="28" t="s">
        <v>20</v>
      </c>
      <c r="O38" s="28" t="s">
        <v>20</v>
      </c>
      <c r="P38" s="28" t="s">
        <v>25</v>
      </c>
      <c r="Q38" s="28" t="s">
        <v>26</v>
      </c>
      <c r="R38" s="28" t="s">
        <v>25</v>
      </c>
      <c r="S38" s="28" t="s">
        <v>20</v>
      </c>
      <c r="U38" s="137" t="s">
        <v>43</v>
      </c>
      <c r="V38" s="12" t="s">
        <v>20</v>
      </c>
      <c r="W38" s="14">
        <f>+COUNTIF(S5:S41,"Si")</f>
        <v>26</v>
      </c>
      <c r="X38" s="125" t="s">
        <v>118</v>
      </c>
      <c r="Y38" s="48" t="s">
        <v>114</v>
      </c>
      <c r="Z38" s="49">
        <f>COUNTIFS($C$5:$C$65,"M",$S$5:$S$65,"Si")</f>
        <v>12</v>
      </c>
      <c r="AA38" s="125" t="s">
        <v>117</v>
      </c>
      <c r="AB38" s="48" t="s">
        <v>114</v>
      </c>
      <c r="AC38" s="55">
        <f>COUNTIFS($C$5:$C$65,"M",$S$5:$S$65,"No")</f>
        <v>3</v>
      </c>
      <c r="AD38" s="125" t="s">
        <v>118</v>
      </c>
      <c r="AE38" s="48" t="s">
        <v>4</v>
      </c>
      <c r="AF38" s="48">
        <f>COUNTIFS($D$5:$D$65,"1",$S$5:$S$65,"Si")</f>
        <v>5</v>
      </c>
      <c r="AG38" s="48" t="s">
        <v>7</v>
      </c>
      <c r="AH38" s="48">
        <f>COUNTIFS($G$5:$G$65,"1",$S$5:$S$65,"Si")</f>
        <v>3</v>
      </c>
      <c r="AI38" s="48" t="s">
        <v>29</v>
      </c>
      <c r="AJ38" s="49">
        <f>COUNTIFS($I$5:$I$65,"Blanco",$S$5:$S$65,"Si")</f>
        <v>1</v>
      </c>
      <c r="AK38" s="50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x14ac:dyDescent="0.25">
      <c r="A39" s="3">
        <v>35</v>
      </c>
      <c r="B39" s="29">
        <v>42927</v>
      </c>
      <c r="C39" s="28" t="s">
        <v>23</v>
      </c>
      <c r="D39" s="28"/>
      <c r="E39" s="28"/>
      <c r="F39" s="28"/>
      <c r="G39" s="28"/>
      <c r="H39" s="28"/>
      <c r="I39" s="28">
        <v>1</v>
      </c>
      <c r="J39" s="33" t="s">
        <v>65</v>
      </c>
      <c r="K39" s="28" t="s">
        <v>64</v>
      </c>
      <c r="L39" s="28" t="s">
        <v>20</v>
      </c>
      <c r="M39" s="28" t="s">
        <v>20</v>
      </c>
      <c r="N39" s="28" t="s">
        <v>25</v>
      </c>
      <c r="O39" s="28" t="s">
        <v>20</v>
      </c>
      <c r="P39" s="28" t="s">
        <v>20</v>
      </c>
      <c r="Q39" s="28" t="s">
        <v>27</v>
      </c>
      <c r="R39" s="28" t="s">
        <v>25</v>
      </c>
      <c r="S39" s="28" t="s">
        <v>20</v>
      </c>
      <c r="U39" s="109"/>
      <c r="V39" s="9" t="s">
        <v>25</v>
      </c>
      <c r="W39" s="15">
        <f>+COUNTIF(S5:S41,"No")</f>
        <v>10</v>
      </c>
      <c r="X39" s="126"/>
      <c r="Y39" s="6" t="s">
        <v>115</v>
      </c>
      <c r="Z39" s="51">
        <f>COUNTIFS($C$5:$C$65,"F",$S$5:$S$65,"Si")</f>
        <v>13</v>
      </c>
      <c r="AA39" s="126"/>
      <c r="AB39" s="6" t="s">
        <v>115</v>
      </c>
      <c r="AC39" s="57">
        <f>COUNTIFS($C$5:$C$65,"F",$S$5:$S$65,"No")</f>
        <v>5</v>
      </c>
      <c r="AD39" s="126"/>
      <c r="AE39" s="6" t="s">
        <v>5</v>
      </c>
      <c r="AF39" s="6">
        <f>COUNTIFS($E$5:$E$65,"1",$S$6:$S$66,"Si")</f>
        <v>1</v>
      </c>
      <c r="AG39" s="39" t="s">
        <v>8</v>
      </c>
      <c r="AH39" s="6">
        <f>COUNTIFS($H$5:$H$65,"1",$S$5:$S$65,"Si")</f>
        <v>3</v>
      </c>
      <c r="AI39" s="6"/>
      <c r="AJ39" s="51"/>
      <c r="AK39" s="50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5.75" thickBot="1" x14ac:dyDescent="0.3">
      <c r="A40" s="3">
        <v>36</v>
      </c>
      <c r="B40" s="29">
        <v>42927</v>
      </c>
      <c r="C40" s="31" t="s">
        <v>30</v>
      </c>
      <c r="D40" s="32"/>
      <c r="E40" s="32"/>
      <c r="F40" s="32"/>
      <c r="G40" s="32"/>
      <c r="H40" s="28"/>
      <c r="I40" s="28">
        <v>1</v>
      </c>
      <c r="J40" s="33" t="s">
        <v>65</v>
      </c>
      <c r="K40" s="28" t="s">
        <v>64</v>
      </c>
      <c r="L40" s="31" t="s">
        <v>20</v>
      </c>
      <c r="M40" s="31" t="s">
        <v>20</v>
      </c>
      <c r="N40" s="31" t="s">
        <v>25</v>
      </c>
      <c r="O40" s="31" t="s">
        <v>25</v>
      </c>
      <c r="P40" s="31" t="s">
        <v>25</v>
      </c>
      <c r="Q40" s="31" t="s">
        <v>27</v>
      </c>
      <c r="R40" s="31" t="s">
        <v>25</v>
      </c>
      <c r="S40" s="31" t="s">
        <v>20</v>
      </c>
      <c r="U40" s="110"/>
      <c r="V40" s="13" t="s">
        <v>29</v>
      </c>
      <c r="W40" s="16">
        <f>+COUNTIF(S5:S41,"Blanco")</f>
        <v>1</v>
      </c>
      <c r="X40" s="127"/>
      <c r="Y40" s="26" t="s">
        <v>29</v>
      </c>
      <c r="Z40" s="52">
        <f>COUNTIFS($C$5:$C$65,"Blanco",$S$5:$S$65,"Si")</f>
        <v>1</v>
      </c>
      <c r="AA40" s="127"/>
      <c r="AB40" s="26" t="s">
        <v>29</v>
      </c>
      <c r="AC40" s="58">
        <f>COUNTIFS($C$5:$C$65,"Blanco",$S$5:$S$65,"No")</f>
        <v>2</v>
      </c>
      <c r="AD40" s="127"/>
      <c r="AE40" s="26" t="s">
        <v>6</v>
      </c>
      <c r="AF40" s="26">
        <f>COUNTIFS($F$5:$F$65,"1",$S$5:$S$65,"Si")</f>
        <v>4</v>
      </c>
      <c r="AG40" s="26" t="s">
        <v>9</v>
      </c>
      <c r="AH40" s="26">
        <f>COUNTIFS($I$5:$I$65,"1",$S$5:$S$65,"Si")</f>
        <v>7</v>
      </c>
      <c r="AI40" s="26"/>
      <c r="AJ40" s="52"/>
      <c r="AK40" s="50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x14ac:dyDescent="0.25">
      <c r="A41" s="3">
        <v>37</v>
      </c>
      <c r="B41" s="29">
        <v>42927</v>
      </c>
      <c r="C41" s="31" t="s">
        <v>30</v>
      </c>
      <c r="D41" s="32"/>
      <c r="E41" s="32"/>
      <c r="F41" s="32"/>
      <c r="G41" s="32"/>
      <c r="H41" s="28"/>
      <c r="I41" s="28">
        <v>1</v>
      </c>
      <c r="J41" s="33" t="s">
        <v>65</v>
      </c>
      <c r="K41" s="28" t="s">
        <v>64</v>
      </c>
      <c r="L41" s="31" t="s">
        <v>20</v>
      </c>
      <c r="M41" s="31" t="s">
        <v>20</v>
      </c>
      <c r="N41" s="31" t="s">
        <v>25</v>
      </c>
      <c r="O41" s="31" t="s">
        <v>25</v>
      </c>
      <c r="P41" s="31" t="s">
        <v>25</v>
      </c>
      <c r="Q41" s="31" t="s">
        <v>27</v>
      </c>
      <c r="R41" s="31" t="s">
        <v>25</v>
      </c>
      <c r="S41" s="31" t="s">
        <v>20</v>
      </c>
    </row>
  </sheetData>
  <mergeCells count="58">
    <mergeCell ref="X38:X40"/>
    <mergeCell ref="AA38:AA40"/>
    <mergeCell ref="AD38:AD40"/>
    <mergeCell ref="AG31:AG33"/>
    <mergeCell ref="AK31:AK33"/>
    <mergeCell ref="AR31:AR33"/>
    <mergeCell ref="X35:X37"/>
    <mergeCell ref="AA35:AA37"/>
    <mergeCell ref="AD35:AD37"/>
    <mergeCell ref="X28:X30"/>
    <mergeCell ref="AA28:AA30"/>
    <mergeCell ref="AD28:AD30"/>
    <mergeCell ref="X31:X33"/>
    <mergeCell ref="AA31:AA33"/>
    <mergeCell ref="AD31:AD33"/>
    <mergeCell ref="X22:X24"/>
    <mergeCell ref="AA22:AA24"/>
    <mergeCell ref="AD22:AD24"/>
    <mergeCell ref="X25:X27"/>
    <mergeCell ref="AA25:AA27"/>
    <mergeCell ref="AD25:AD27"/>
    <mergeCell ref="X16:X18"/>
    <mergeCell ref="AA16:AA18"/>
    <mergeCell ref="AD16:AD18"/>
    <mergeCell ref="X19:X21"/>
    <mergeCell ref="AA19:AA21"/>
    <mergeCell ref="AD19:AD21"/>
    <mergeCell ref="U31:U34"/>
    <mergeCell ref="U35:U37"/>
    <mergeCell ref="U38:U40"/>
    <mergeCell ref="U13:U15"/>
    <mergeCell ref="U16:U18"/>
    <mergeCell ref="U19:U21"/>
    <mergeCell ref="U22:U24"/>
    <mergeCell ref="U25:U27"/>
    <mergeCell ref="U28:U30"/>
    <mergeCell ref="U6:U12"/>
    <mergeCell ref="L3:L4"/>
    <mergeCell ref="M3:M4"/>
    <mergeCell ref="N3:N4"/>
    <mergeCell ref="O3:O4"/>
    <mergeCell ref="P3:P4"/>
    <mergeCell ref="Q3:Q4"/>
    <mergeCell ref="R3:R4"/>
    <mergeCell ref="S3:S4"/>
    <mergeCell ref="U3:V3"/>
    <mergeCell ref="U4:V4"/>
    <mergeCell ref="U5:V5"/>
    <mergeCell ref="A1:S1"/>
    <mergeCell ref="U1:W1"/>
    <mergeCell ref="A2:S2"/>
    <mergeCell ref="U2:V2"/>
    <mergeCell ref="A3:A4"/>
    <mergeCell ref="B3:B4"/>
    <mergeCell ref="C3:C4"/>
    <mergeCell ref="D3:I3"/>
    <mergeCell ref="J3:J4"/>
    <mergeCell ref="K3:K4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65"/>
  <sheetViews>
    <sheetView topLeftCell="V1" zoomScale="50" zoomScaleNormal="50" workbookViewId="0">
      <selection activeCell="AX34" sqref="AT34:AX36"/>
    </sheetView>
  </sheetViews>
  <sheetFormatPr baseColWidth="10" defaultRowHeight="15" x14ac:dyDescent="0.25"/>
  <cols>
    <col min="1" max="1" width="6.28515625" style="1" bestFit="1" customWidth="1"/>
    <col min="2" max="2" width="17.42578125" customWidth="1"/>
    <col min="4" max="4" width="9.7109375" bestFit="1" customWidth="1"/>
    <col min="5" max="5" width="10.140625" bestFit="1" customWidth="1"/>
    <col min="6" max="6" width="9.7109375" bestFit="1" customWidth="1"/>
    <col min="7" max="7" width="10.140625" bestFit="1" customWidth="1"/>
    <col min="8" max="8" width="9.7109375" bestFit="1" customWidth="1"/>
    <col min="9" max="9" width="14.140625" customWidth="1"/>
    <col min="10" max="10" width="20.140625" bestFit="1" customWidth="1"/>
    <col min="11" max="11" width="16" bestFit="1" customWidth="1"/>
    <col min="12" max="19" width="14.28515625" customWidth="1"/>
    <col min="21" max="21" width="48.42578125" style="7" customWidth="1"/>
    <col min="22" max="22" width="23.85546875" bestFit="1" customWidth="1"/>
    <col min="23" max="23" width="11.42578125" style="1"/>
  </cols>
  <sheetData>
    <row r="1" spans="1:23" ht="15.75" thickBot="1" x14ac:dyDescent="0.3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U1" s="144" t="s">
        <v>46</v>
      </c>
      <c r="V1" s="145"/>
      <c r="W1" s="148"/>
    </row>
    <row r="2" spans="1:23" ht="15.75" thickBot="1" x14ac:dyDescent="0.3">
      <c r="A2" s="123" t="s">
        <v>21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U2" s="144" t="s">
        <v>44</v>
      </c>
      <c r="V2" s="145"/>
      <c r="W2" s="17">
        <f>+COUNTIF(C5:C65,"M")</f>
        <v>19</v>
      </c>
    </row>
    <row r="3" spans="1:23" ht="15.75" customHeight="1" thickBot="1" x14ac:dyDescent="0.3">
      <c r="A3" s="149" t="s">
        <v>22</v>
      </c>
      <c r="B3" s="151" t="s">
        <v>2</v>
      </c>
      <c r="C3" s="149" t="s">
        <v>1</v>
      </c>
      <c r="D3" s="123" t="s">
        <v>3</v>
      </c>
      <c r="E3" s="123"/>
      <c r="F3" s="123"/>
      <c r="G3" s="123"/>
      <c r="H3" s="123"/>
      <c r="I3" s="123"/>
      <c r="J3" s="149" t="s">
        <v>11</v>
      </c>
      <c r="K3" s="149" t="s">
        <v>10</v>
      </c>
      <c r="L3" s="142" t="s">
        <v>12</v>
      </c>
      <c r="M3" s="142" t="s">
        <v>13</v>
      </c>
      <c r="N3" s="142" t="s">
        <v>14</v>
      </c>
      <c r="O3" s="142" t="s">
        <v>15</v>
      </c>
      <c r="P3" s="142" t="s">
        <v>16</v>
      </c>
      <c r="Q3" s="142" t="s">
        <v>17</v>
      </c>
      <c r="R3" s="142" t="s">
        <v>18</v>
      </c>
      <c r="S3" s="142" t="s">
        <v>19</v>
      </c>
      <c r="U3" s="144" t="s">
        <v>45</v>
      </c>
      <c r="V3" s="145"/>
      <c r="W3" s="17">
        <f>+COUNTIF(C5:C65,"F")</f>
        <v>15</v>
      </c>
    </row>
    <row r="4" spans="1:23" ht="15.75" customHeight="1" thickBot="1" x14ac:dyDescent="0.3">
      <c r="A4" s="150"/>
      <c r="B4" s="152"/>
      <c r="C4" s="150"/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150"/>
      <c r="K4" s="150"/>
      <c r="L4" s="143"/>
      <c r="M4" s="143"/>
      <c r="N4" s="143"/>
      <c r="O4" s="143"/>
      <c r="P4" s="143"/>
      <c r="Q4" s="143"/>
      <c r="R4" s="143"/>
      <c r="S4" s="143"/>
      <c r="U4" s="146" t="s">
        <v>29</v>
      </c>
      <c r="V4" s="147"/>
      <c r="W4" s="17">
        <f>+COUNTIF(C5:C65,"Blanco")</f>
        <v>1</v>
      </c>
    </row>
    <row r="5" spans="1:23" ht="15.75" thickBot="1" x14ac:dyDescent="0.3">
      <c r="A5" s="3">
        <v>1</v>
      </c>
      <c r="B5" s="29">
        <v>42927</v>
      </c>
      <c r="C5" s="28" t="s">
        <v>30</v>
      </c>
      <c r="D5" s="28"/>
      <c r="E5" s="28">
        <v>1</v>
      </c>
      <c r="F5" s="28"/>
      <c r="G5" s="28"/>
      <c r="H5" s="28"/>
      <c r="I5" s="28"/>
      <c r="J5" s="33" t="s">
        <v>91</v>
      </c>
      <c r="K5" s="33" t="s">
        <v>88</v>
      </c>
      <c r="L5" s="28" t="s">
        <v>20</v>
      </c>
      <c r="M5" s="28" t="s">
        <v>20</v>
      </c>
      <c r="N5" s="28" t="s">
        <v>20</v>
      </c>
      <c r="O5" s="28" t="s">
        <v>20</v>
      </c>
      <c r="P5" s="28" t="s">
        <v>20</v>
      </c>
      <c r="Q5" s="28" t="s">
        <v>27</v>
      </c>
      <c r="R5" s="28" t="s">
        <v>25</v>
      </c>
      <c r="S5" s="28" t="s">
        <v>25</v>
      </c>
      <c r="U5" s="146" t="s">
        <v>47</v>
      </c>
      <c r="V5" s="147"/>
      <c r="W5" s="18">
        <f>SUM(W2:W4)</f>
        <v>35</v>
      </c>
    </row>
    <row r="6" spans="1:23" x14ac:dyDescent="0.25">
      <c r="A6" s="3">
        <v>2</v>
      </c>
      <c r="B6" s="29">
        <v>42927</v>
      </c>
      <c r="C6" s="28" t="s">
        <v>30</v>
      </c>
      <c r="D6" s="28"/>
      <c r="E6" s="28"/>
      <c r="F6" s="28"/>
      <c r="G6" s="28"/>
      <c r="H6" s="28"/>
      <c r="I6" s="28">
        <v>1</v>
      </c>
      <c r="J6" s="33" t="s">
        <v>91</v>
      </c>
      <c r="K6" s="33" t="s">
        <v>88</v>
      </c>
      <c r="L6" s="28" t="s">
        <v>20</v>
      </c>
      <c r="M6" s="28" t="s">
        <v>20</v>
      </c>
      <c r="N6" s="28" t="s">
        <v>25</v>
      </c>
      <c r="O6" s="28" t="s">
        <v>25</v>
      </c>
      <c r="P6" s="28" t="s">
        <v>25</v>
      </c>
      <c r="Q6" s="28" t="s">
        <v>26</v>
      </c>
      <c r="R6" s="28" t="s">
        <v>25</v>
      </c>
      <c r="S6" s="28" t="s">
        <v>25</v>
      </c>
      <c r="U6" s="140" t="s">
        <v>3</v>
      </c>
      <c r="V6" s="11" t="s">
        <v>4</v>
      </c>
      <c r="W6" s="14">
        <f>+COUNTIF(D5:D65,"1")</f>
        <v>5</v>
      </c>
    </row>
    <row r="7" spans="1:23" x14ac:dyDescent="0.25">
      <c r="A7" s="3">
        <v>3</v>
      </c>
      <c r="B7" s="29">
        <v>42927</v>
      </c>
      <c r="C7" s="28" t="s">
        <v>23</v>
      </c>
      <c r="D7" s="28"/>
      <c r="E7" s="28"/>
      <c r="F7" s="28"/>
      <c r="G7" s="28">
        <v>1</v>
      </c>
      <c r="H7" s="28"/>
      <c r="I7" s="28"/>
      <c r="J7" s="33" t="s">
        <v>91</v>
      </c>
      <c r="K7" s="33" t="s">
        <v>88</v>
      </c>
      <c r="L7" s="28" t="s">
        <v>20</v>
      </c>
      <c r="M7" s="28" t="s">
        <v>20</v>
      </c>
      <c r="N7" s="28" t="s">
        <v>20</v>
      </c>
      <c r="O7" s="28" t="s">
        <v>20</v>
      </c>
      <c r="P7" s="28" t="s">
        <v>25</v>
      </c>
      <c r="Q7" s="28" t="s">
        <v>28</v>
      </c>
      <c r="R7" s="28" t="s">
        <v>20</v>
      </c>
      <c r="S7" s="28" t="s">
        <v>25</v>
      </c>
      <c r="U7" s="141"/>
      <c r="V7" s="8" t="s">
        <v>5</v>
      </c>
      <c r="W7" s="15">
        <f>+COUNTIF(E5:E65,"1")</f>
        <v>4</v>
      </c>
    </row>
    <row r="8" spans="1:23" x14ac:dyDescent="0.25">
      <c r="A8" s="3">
        <v>4</v>
      </c>
      <c r="B8" s="29">
        <v>42927</v>
      </c>
      <c r="C8" s="28" t="s">
        <v>30</v>
      </c>
      <c r="D8" s="28"/>
      <c r="E8" s="28"/>
      <c r="F8" s="28"/>
      <c r="G8" s="28"/>
      <c r="H8" s="28">
        <v>1</v>
      </c>
      <c r="I8" s="28"/>
      <c r="J8" s="33" t="s">
        <v>91</v>
      </c>
      <c r="K8" s="33" t="s">
        <v>88</v>
      </c>
      <c r="L8" s="28" t="s">
        <v>20</v>
      </c>
      <c r="M8" s="28" t="s">
        <v>20</v>
      </c>
      <c r="N8" s="28" t="s">
        <v>20</v>
      </c>
      <c r="O8" s="28" t="s">
        <v>20</v>
      </c>
      <c r="P8" s="28" t="s">
        <v>20</v>
      </c>
      <c r="Q8" s="28" t="s">
        <v>28</v>
      </c>
      <c r="R8" s="28" t="s">
        <v>20</v>
      </c>
      <c r="S8" s="28" t="s">
        <v>20</v>
      </c>
      <c r="T8" s="30"/>
      <c r="U8" s="141"/>
      <c r="V8" s="8" t="s">
        <v>6</v>
      </c>
      <c r="W8" s="15">
        <f>+COUNTIF(F5:F41,"1")</f>
        <v>4</v>
      </c>
    </row>
    <row r="9" spans="1:23" x14ac:dyDescent="0.25">
      <c r="A9" s="3">
        <v>5</v>
      </c>
      <c r="B9" s="29">
        <v>42927</v>
      </c>
      <c r="C9" s="28" t="s">
        <v>23</v>
      </c>
      <c r="D9" s="28"/>
      <c r="E9" s="28"/>
      <c r="F9" s="28"/>
      <c r="G9" s="28"/>
      <c r="H9" s="28">
        <v>1</v>
      </c>
      <c r="I9" s="28"/>
      <c r="J9" s="33" t="s">
        <v>91</v>
      </c>
      <c r="K9" s="33" t="s">
        <v>88</v>
      </c>
      <c r="L9" s="28" t="s">
        <v>20</v>
      </c>
      <c r="M9" s="28" t="s">
        <v>20</v>
      </c>
      <c r="N9" s="28" t="s">
        <v>25</v>
      </c>
      <c r="O9" s="28" t="s">
        <v>25</v>
      </c>
      <c r="P9" s="28" t="s">
        <v>25</v>
      </c>
      <c r="Q9" s="28" t="s">
        <v>26</v>
      </c>
      <c r="R9" s="28" t="s">
        <v>20</v>
      </c>
      <c r="S9" s="28" t="s">
        <v>20</v>
      </c>
      <c r="U9" s="141"/>
      <c r="V9" s="8" t="s">
        <v>7</v>
      </c>
      <c r="W9" s="15">
        <f>+COUNTIF(G5:G65,"1")</f>
        <v>2</v>
      </c>
    </row>
    <row r="10" spans="1:23" x14ac:dyDescent="0.25">
      <c r="A10" s="3">
        <v>6</v>
      </c>
      <c r="B10" s="29">
        <v>42927</v>
      </c>
      <c r="C10" s="28" t="s">
        <v>30</v>
      </c>
      <c r="D10" s="28"/>
      <c r="E10" s="28"/>
      <c r="F10" s="28">
        <v>1</v>
      </c>
      <c r="G10" s="28"/>
      <c r="H10" s="28"/>
      <c r="I10" s="28"/>
      <c r="J10" s="33" t="s">
        <v>91</v>
      </c>
      <c r="K10" s="33" t="s">
        <v>88</v>
      </c>
      <c r="L10" s="28" t="s">
        <v>20</v>
      </c>
      <c r="M10" s="28" t="s">
        <v>25</v>
      </c>
      <c r="N10" s="28" t="s">
        <v>20</v>
      </c>
      <c r="O10" s="28" t="s">
        <v>25</v>
      </c>
      <c r="P10" s="28" t="s">
        <v>25</v>
      </c>
      <c r="Q10" s="28" t="s">
        <v>28</v>
      </c>
      <c r="R10" s="28" t="s">
        <v>20</v>
      </c>
      <c r="S10" s="28" t="s">
        <v>25</v>
      </c>
      <c r="U10" s="141"/>
      <c r="V10" s="8" t="s">
        <v>8</v>
      </c>
      <c r="W10" s="15">
        <f>+COUNTIF(H5:H65,"1")</f>
        <v>8</v>
      </c>
    </row>
    <row r="11" spans="1:23" x14ac:dyDescent="0.25">
      <c r="A11" s="3">
        <v>7</v>
      </c>
      <c r="B11" s="29">
        <v>42927</v>
      </c>
      <c r="C11" s="28" t="s">
        <v>30</v>
      </c>
      <c r="D11" s="28"/>
      <c r="E11" s="28">
        <v>1</v>
      </c>
      <c r="F11" s="28"/>
      <c r="G11" s="28"/>
      <c r="H11" s="28"/>
      <c r="I11" s="28"/>
      <c r="J11" s="33" t="s">
        <v>91</v>
      </c>
      <c r="K11" s="33" t="s">
        <v>88</v>
      </c>
      <c r="L11" s="28" t="s">
        <v>20</v>
      </c>
      <c r="M11" s="28" t="s">
        <v>20</v>
      </c>
      <c r="N11" s="28" t="s">
        <v>25</v>
      </c>
      <c r="O11" s="28" t="s">
        <v>25</v>
      </c>
      <c r="P11" s="28" t="s">
        <v>25</v>
      </c>
      <c r="Q11" s="28" t="s">
        <v>28</v>
      </c>
      <c r="R11" s="28" t="s">
        <v>20</v>
      </c>
      <c r="S11" s="28" t="s">
        <v>25</v>
      </c>
      <c r="U11" s="141"/>
      <c r="V11" s="22" t="s">
        <v>9</v>
      </c>
      <c r="W11" s="23">
        <f>+COUNTIF(I5:I65,"1")</f>
        <v>10</v>
      </c>
    </row>
    <row r="12" spans="1:23" ht="15.75" thickBot="1" x14ac:dyDescent="0.3">
      <c r="A12" s="3">
        <v>8</v>
      </c>
      <c r="B12" s="29">
        <v>42927</v>
      </c>
      <c r="C12" s="28" t="s">
        <v>30</v>
      </c>
      <c r="D12" s="28"/>
      <c r="E12" s="28"/>
      <c r="F12" s="28"/>
      <c r="G12" s="28">
        <v>1</v>
      </c>
      <c r="H12" s="28"/>
      <c r="I12" s="28"/>
      <c r="J12" s="33" t="s">
        <v>91</v>
      </c>
      <c r="K12" s="33" t="s">
        <v>88</v>
      </c>
      <c r="L12" s="28" t="s">
        <v>20</v>
      </c>
      <c r="M12" s="28" t="s">
        <v>20</v>
      </c>
      <c r="N12" s="28" t="s">
        <v>20</v>
      </c>
      <c r="O12" s="28" t="s">
        <v>25</v>
      </c>
      <c r="P12" s="28" t="s">
        <v>25</v>
      </c>
      <c r="Q12" s="28" t="s">
        <v>27</v>
      </c>
      <c r="R12" s="28" t="s">
        <v>20</v>
      </c>
      <c r="S12" s="28" t="s">
        <v>20</v>
      </c>
      <c r="U12" s="141"/>
      <c r="V12" s="34" t="s">
        <v>29</v>
      </c>
      <c r="W12" s="23">
        <f>+COUNTIF(I5:I65,"Blanco")</f>
        <v>2</v>
      </c>
    </row>
    <row r="13" spans="1:23" x14ac:dyDescent="0.25">
      <c r="A13" s="3">
        <v>9</v>
      </c>
      <c r="B13" s="29">
        <v>42927</v>
      </c>
      <c r="C13" s="28" t="s">
        <v>23</v>
      </c>
      <c r="D13" s="28">
        <v>1</v>
      </c>
      <c r="E13" s="28"/>
      <c r="F13" s="28"/>
      <c r="G13" s="28"/>
      <c r="H13" s="28"/>
      <c r="I13" s="28"/>
      <c r="J13" s="33" t="s">
        <v>91</v>
      </c>
      <c r="K13" s="33" t="s">
        <v>88</v>
      </c>
      <c r="L13" s="28" t="s">
        <v>20</v>
      </c>
      <c r="M13" s="28" t="s">
        <v>20</v>
      </c>
      <c r="N13" s="28" t="s">
        <v>25</v>
      </c>
      <c r="O13" s="28" t="s">
        <v>25</v>
      </c>
      <c r="P13" s="28" t="s">
        <v>25</v>
      </c>
      <c r="Q13" s="28" t="s">
        <v>28</v>
      </c>
      <c r="R13" s="28" t="s">
        <v>25</v>
      </c>
      <c r="S13" s="28" t="s">
        <v>25</v>
      </c>
      <c r="U13" s="137" t="s">
        <v>35</v>
      </c>
      <c r="V13" s="19" t="s">
        <v>88</v>
      </c>
      <c r="W13" s="14">
        <f>+COUNTIF(K5:K65,"Villa Nueva")</f>
        <v>11</v>
      </c>
    </row>
    <row r="14" spans="1:23" x14ac:dyDescent="0.25">
      <c r="A14" s="3">
        <v>10</v>
      </c>
      <c r="B14" s="29">
        <v>42927</v>
      </c>
      <c r="C14" s="28" t="s">
        <v>30</v>
      </c>
      <c r="D14" s="28"/>
      <c r="E14" s="28"/>
      <c r="F14" s="28"/>
      <c r="G14" s="28"/>
      <c r="H14" s="28">
        <v>1</v>
      </c>
      <c r="I14" s="28"/>
      <c r="J14" s="33" t="s">
        <v>91</v>
      </c>
      <c r="K14" s="33" t="s">
        <v>88</v>
      </c>
      <c r="L14" s="28" t="s">
        <v>20</v>
      </c>
      <c r="M14" s="28" t="s">
        <v>20</v>
      </c>
      <c r="N14" s="28" t="s">
        <v>25</v>
      </c>
      <c r="O14" s="28" t="s">
        <v>25</v>
      </c>
      <c r="P14" s="28" t="s">
        <v>25</v>
      </c>
      <c r="Q14" s="28" t="s">
        <v>27</v>
      </c>
      <c r="R14" s="28" t="s">
        <v>20</v>
      </c>
      <c r="S14" s="28" t="s">
        <v>20</v>
      </c>
      <c r="U14" s="109"/>
      <c r="V14" s="6" t="s">
        <v>89</v>
      </c>
      <c r="W14" s="15">
        <f>+COUNTIF(K5:K65,"Potrerillos")</f>
        <v>10</v>
      </c>
    </row>
    <row r="15" spans="1:23" x14ac:dyDescent="0.25">
      <c r="A15" s="3">
        <v>11</v>
      </c>
      <c r="B15" s="29">
        <v>42927</v>
      </c>
      <c r="C15" s="28" t="s">
        <v>23</v>
      </c>
      <c r="D15" s="28"/>
      <c r="E15" s="28">
        <v>1</v>
      </c>
      <c r="F15" s="28"/>
      <c r="G15" s="28"/>
      <c r="H15" s="28"/>
      <c r="I15" s="28"/>
      <c r="J15" s="33" t="s">
        <v>91</v>
      </c>
      <c r="K15" s="33" t="s">
        <v>88</v>
      </c>
      <c r="L15" s="28" t="s">
        <v>20</v>
      </c>
      <c r="M15" s="28" t="s">
        <v>20</v>
      </c>
      <c r="N15" s="28" t="s">
        <v>20</v>
      </c>
      <c r="O15" s="28" t="s">
        <v>25</v>
      </c>
      <c r="P15" s="28" t="s">
        <v>25</v>
      </c>
      <c r="Q15" s="28" t="s">
        <v>27</v>
      </c>
      <c r="R15" s="28" t="s">
        <v>20</v>
      </c>
      <c r="S15" s="28" t="s">
        <v>20</v>
      </c>
      <c r="U15" s="109"/>
      <c r="V15" s="35" t="s">
        <v>90</v>
      </c>
      <c r="W15" s="15">
        <f>+COUNTIF(K5:K65,"SPS")</f>
        <v>14</v>
      </c>
    </row>
    <row r="16" spans="1:23" x14ac:dyDescent="0.25">
      <c r="A16" s="3">
        <v>12</v>
      </c>
      <c r="B16" s="29">
        <v>42927</v>
      </c>
      <c r="C16" s="28" t="s">
        <v>30</v>
      </c>
      <c r="D16" s="28"/>
      <c r="E16" s="28"/>
      <c r="F16" s="28">
        <v>1</v>
      </c>
      <c r="G16" s="28"/>
      <c r="H16" s="28"/>
      <c r="I16" s="28"/>
      <c r="J16" s="33" t="s">
        <v>91</v>
      </c>
      <c r="K16" s="33" t="s">
        <v>89</v>
      </c>
      <c r="L16" s="28" t="s">
        <v>20</v>
      </c>
      <c r="M16" s="28" t="s">
        <v>20</v>
      </c>
      <c r="N16" s="28" t="s">
        <v>25</v>
      </c>
      <c r="O16" s="28" t="s">
        <v>25</v>
      </c>
      <c r="P16" s="28" t="s">
        <v>25</v>
      </c>
      <c r="Q16" s="28" t="s">
        <v>27</v>
      </c>
      <c r="R16" s="28" t="s">
        <v>20</v>
      </c>
      <c r="S16" s="28" t="s">
        <v>20</v>
      </c>
      <c r="U16" s="109"/>
      <c r="V16" s="6"/>
      <c r="W16" s="15"/>
    </row>
    <row r="17" spans="1:50" x14ac:dyDescent="0.25">
      <c r="A17" s="3">
        <v>13</v>
      </c>
      <c r="B17" s="29">
        <v>42927</v>
      </c>
      <c r="C17" s="28" t="s">
        <v>30</v>
      </c>
      <c r="D17" s="28"/>
      <c r="E17" s="28"/>
      <c r="F17" s="28"/>
      <c r="G17" s="28"/>
      <c r="H17" s="28"/>
      <c r="I17" s="28">
        <v>1</v>
      </c>
      <c r="J17" s="33" t="s">
        <v>91</v>
      </c>
      <c r="K17" s="33" t="s">
        <v>89</v>
      </c>
      <c r="L17" s="28" t="s">
        <v>20</v>
      </c>
      <c r="M17" s="28" t="s">
        <v>20</v>
      </c>
      <c r="N17" s="28" t="s">
        <v>25</v>
      </c>
      <c r="O17" s="28" t="s">
        <v>25</v>
      </c>
      <c r="P17" s="28" t="s">
        <v>25</v>
      </c>
      <c r="Q17" s="28" t="s">
        <v>26</v>
      </c>
      <c r="R17" s="28" t="s">
        <v>25</v>
      </c>
      <c r="S17" s="28" t="s">
        <v>20</v>
      </c>
      <c r="U17" s="138"/>
      <c r="V17" s="34"/>
      <c r="W17" s="15"/>
    </row>
    <row r="18" spans="1:50" ht="15.75" thickBot="1" x14ac:dyDescent="0.3">
      <c r="A18" s="3">
        <v>14</v>
      </c>
      <c r="B18" s="29">
        <v>42927</v>
      </c>
      <c r="C18" s="28" t="s">
        <v>30</v>
      </c>
      <c r="D18" s="28"/>
      <c r="E18" s="28"/>
      <c r="F18" s="28"/>
      <c r="G18" s="28"/>
      <c r="H18" s="28">
        <v>1</v>
      </c>
      <c r="I18" s="28"/>
      <c r="J18" s="33" t="s">
        <v>91</v>
      </c>
      <c r="K18" s="33" t="s">
        <v>89</v>
      </c>
      <c r="L18" s="28" t="s">
        <v>20</v>
      </c>
      <c r="M18" s="28" t="s">
        <v>25</v>
      </c>
      <c r="N18" s="28" t="s">
        <v>25</v>
      </c>
      <c r="O18" s="28" t="s">
        <v>25</v>
      </c>
      <c r="P18" s="28" t="s">
        <v>25</v>
      </c>
      <c r="Q18" s="28" t="s">
        <v>28</v>
      </c>
      <c r="R18" s="28" t="s">
        <v>25</v>
      </c>
      <c r="S18" s="28" t="s">
        <v>20</v>
      </c>
      <c r="U18" s="110"/>
      <c r="V18" s="26"/>
      <c r="W18" s="16"/>
    </row>
    <row r="19" spans="1:50" ht="15" customHeight="1" x14ac:dyDescent="0.25">
      <c r="A19" s="3">
        <v>15</v>
      </c>
      <c r="B19" s="29">
        <v>42927</v>
      </c>
      <c r="C19" s="28" t="s">
        <v>30</v>
      </c>
      <c r="D19" s="28"/>
      <c r="E19" s="28"/>
      <c r="F19" s="28"/>
      <c r="G19" s="28"/>
      <c r="H19" s="28">
        <v>1</v>
      </c>
      <c r="I19" s="28"/>
      <c r="J19" s="33" t="s">
        <v>91</v>
      </c>
      <c r="K19" s="33" t="s">
        <v>89</v>
      </c>
      <c r="L19" s="28" t="s">
        <v>25</v>
      </c>
      <c r="M19" s="28" t="s">
        <v>20</v>
      </c>
      <c r="N19" s="28" t="s">
        <v>25</v>
      </c>
      <c r="O19" s="28" t="s">
        <v>25</v>
      </c>
      <c r="P19" s="28" t="s">
        <v>25</v>
      </c>
      <c r="Q19" s="28" t="s">
        <v>26</v>
      </c>
      <c r="R19" s="28" t="s">
        <v>25</v>
      </c>
      <c r="S19" s="28" t="s">
        <v>25</v>
      </c>
      <c r="U19" s="139" t="s">
        <v>36</v>
      </c>
      <c r="V19" s="10" t="s">
        <v>20</v>
      </c>
      <c r="W19" s="25">
        <f>+COUNTIF(L5:L65,"Si")</f>
        <v>28</v>
      </c>
      <c r="X19" s="125" t="s">
        <v>118</v>
      </c>
      <c r="Y19" s="48" t="s">
        <v>114</v>
      </c>
      <c r="Z19" s="49">
        <f>COUNTIFS($C$5:$C$65,"M",$L$5:$L$65,"Si")</f>
        <v>16</v>
      </c>
      <c r="AA19" s="125" t="s">
        <v>117</v>
      </c>
      <c r="AB19" s="48" t="s">
        <v>114</v>
      </c>
      <c r="AC19" s="55">
        <f>COUNTIFS($C$5:$C$65,"M",$L$5:$L$65,"No")</f>
        <v>3</v>
      </c>
      <c r="AD19" s="125" t="s">
        <v>118</v>
      </c>
      <c r="AE19" s="48" t="s">
        <v>4</v>
      </c>
      <c r="AF19" s="48">
        <f>COUNTIFS($D$5:$D$65,"1",$L$5:$L$65,"Si")</f>
        <v>4</v>
      </c>
      <c r="AG19" s="48" t="s">
        <v>7</v>
      </c>
      <c r="AH19" s="48">
        <f>COUNTIFS($G$5:$G$65,"1",$L$5:$L$65,"Si")</f>
        <v>2</v>
      </c>
      <c r="AI19" s="48" t="s">
        <v>29</v>
      </c>
      <c r="AJ19" s="49">
        <f>COUNTIFS($I$5:$I$65,"Blanco",$L$5:$L$65,"Si")</f>
        <v>2</v>
      </c>
      <c r="AK19" s="50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x14ac:dyDescent="0.25">
      <c r="A20" s="3">
        <v>16</v>
      </c>
      <c r="B20" s="29">
        <v>42927</v>
      </c>
      <c r="C20" s="28" t="s">
        <v>30</v>
      </c>
      <c r="D20" s="28"/>
      <c r="E20" s="28"/>
      <c r="F20" s="28">
        <v>1</v>
      </c>
      <c r="G20" s="28"/>
      <c r="H20" s="28"/>
      <c r="I20" s="28"/>
      <c r="J20" s="33" t="s">
        <v>91</v>
      </c>
      <c r="K20" s="33" t="s">
        <v>89</v>
      </c>
      <c r="L20" s="28" t="s">
        <v>20</v>
      </c>
      <c r="M20" s="28" t="s">
        <v>20</v>
      </c>
      <c r="N20" s="28" t="s">
        <v>25</v>
      </c>
      <c r="O20" s="28" t="s">
        <v>20</v>
      </c>
      <c r="P20" s="28" t="s">
        <v>20</v>
      </c>
      <c r="Q20" s="28" t="s">
        <v>28</v>
      </c>
      <c r="R20" s="28" t="s">
        <v>20</v>
      </c>
      <c r="S20" s="28" t="s">
        <v>20</v>
      </c>
      <c r="U20" s="109"/>
      <c r="V20" s="9" t="s">
        <v>25</v>
      </c>
      <c r="W20" s="15">
        <f>+COUNTIF(L5:L65,"No")</f>
        <v>7</v>
      </c>
      <c r="X20" s="126"/>
      <c r="Y20" s="6" t="s">
        <v>115</v>
      </c>
      <c r="Z20" s="51">
        <f>COUNTIFS($C$5:$C$65,"F",$L$5:$L$65,"Si")</f>
        <v>11</v>
      </c>
      <c r="AA20" s="126"/>
      <c r="AB20" s="6" t="s">
        <v>115</v>
      </c>
      <c r="AC20" s="57">
        <f>COUNTIFS($C$5:$C$65,"F",$L$5:$L$65,"No")</f>
        <v>4</v>
      </c>
      <c r="AD20" s="126"/>
      <c r="AE20" s="6" t="s">
        <v>5</v>
      </c>
      <c r="AF20" s="6">
        <f>COUNTIFS($E$5:$E$65,"1",$L$5:$L$65,"Si")</f>
        <v>3</v>
      </c>
      <c r="AG20" s="39" t="s">
        <v>8</v>
      </c>
      <c r="AH20" s="6">
        <f>COUNTIFS($H$5:$H$65,"1",$L$5:$L$65,"Si")</f>
        <v>5</v>
      </c>
      <c r="AI20" s="6"/>
      <c r="AJ20" s="51"/>
      <c r="AK20" s="50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5.75" thickBot="1" x14ac:dyDescent="0.3">
      <c r="A21" s="3">
        <v>17</v>
      </c>
      <c r="B21" s="29">
        <v>42927</v>
      </c>
      <c r="C21" s="28" t="s">
        <v>30</v>
      </c>
      <c r="D21" s="28"/>
      <c r="E21" s="28"/>
      <c r="F21" s="28">
        <v>1</v>
      </c>
      <c r="G21" s="28"/>
      <c r="H21" s="28"/>
      <c r="I21" s="28"/>
      <c r="J21" s="33" t="s">
        <v>91</v>
      </c>
      <c r="K21" s="33" t="s">
        <v>89</v>
      </c>
      <c r="L21" s="28" t="s">
        <v>20</v>
      </c>
      <c r="M21" s="28" t="s">
        <v>20</v>
      </c>
      <c r="N21" s="28" t="s">
        <v>25</v>
      </c>
      <c r="O21" s="28" t="s">
        <v>25</v>
      </c>
      <c r="P21" s="28" t="s">
        <v>25</v>
      </c>
      <c r="Q21" s="28" t="s">
        <v>28</v>
      </c>
      <c r="R21" s="28" t="s">
        <v>25</v>
      </c>
      <c r="S21" s="28" t="s">
        <v>25</v>
      </c>
      <c r="U21" s="110"/>
      <c r="V21" s="13" t="s">
        <v>29</v>
      </c>
      <c r="W21" s="16">
        <f>+COUNTIF(L5:L65,"Blanco")</f>
        <v>0</v>
      </c>
      <c r="X21" s="127"/>
      <c r="Y21" s="26" t="s">
        <v>29</v>
      </c>
      <c r="Z21" s="52">
        <f>COUNTIFS($C$5:$C$65,"Blanco",$L$5:$L$65,"Si")</f>
        <v>1</v>
      </c>
      <c r="AA21" s="127"/>
      <c r="AB21" s="26" t="s">
        <v>29</v>
      </c>
      <c r="AC21" s="58">
        <f>COUNTIFS($C$5:$C$65,"Blanco",$L$5:$L$65,"No")</f>
        <v>0</v>
      </c>
      <c r="AD21" s="127"/>
      <c r="AE21" s="26" t="s">
        <v>6</v>
      </c>
      <c r="AF21" s="26">
        <f>COUNTIFS($F$5:$F$65,"1",$L$5:$L$65,"Si")</f>
        <v>4</v>
      </c>
      <c r="AG21" s="26" t="s">
        <v>9</v>
      </c>
      <c r="AH21" s="26">
        <f>COUNTIFS($I$5:$I$65,"1",$L$5:$L$65,"Si")</f>
        <v>8</v>
      </c>
      <c r="AI21" s="26"/>
      <c r="AJ21" s="52"/>
      <c r="AK21" s="50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x14ac:dyDescent="0.25">
      <c r="A22" s="3">
        <v>18</v>
      </c>
      <c r="B22" s="29">
        <v>42927</v>
      </c>
      <c r="C22" s="28" t="s">
        <v>23</v>
      </c>
      <c r="D22" s="28">
        <v>1</v>
      </c>
      <c r="E22" s="28"/>
      <c r="F22" s="28"/>
      <c r="G22" s="28"/>
      <c r="H22" s="28"/>
      <c r="I22" s="28"/>
      <c r="J22" s="33" t="s">
        <v>91</v>
      </c>
      <c r="K22" s="33" t="s">
        <v>89</v>
      </c>
      <c r="L22" s="28" t="s">
        <v>20</v>
      </c>
      <c r="M22" s="28" t="s">
        <v>20</v>
      </c>
      <c r="N22" s="28" t="s">
        <v>25</v>
      </c>
      <c r="O22" s="28" t="s">
        <v>25</v>
      </c>
      <c r="P22" s="28" t="s">
        <v>25</v>
      </c>
      <c r="Q22" s="28" t="s">
        <v>26</v>
      </c>
      <c r="R22" s="28" t="s">
        <v>20</v>
      </c>
      <c r="S22" s="28" t="s">
        <v>20</v>
      </c>
      <c r="U22" s="137" t="s">
        <v>37</v>
      </c>
      <c r="V22" s="12" t="s">
        <v>20</v>
      </c>
      <c r="W22" s="14">
        <f>+COUNTIF(M5:M65,"Si")</f>
        <v>25</v>
      </c>
      <c r="X22" s="125" t="s">
        <v>118</v>
      </c>
      <c r="Y22" s="48" t="s">
        <v>114</v>
      </c>
      <c r="Z22" s="49">
        <f>COUNTIFS($C$5:$C$65,"M",$M$5:$M$65,"Si")</f>
        <v>14</v>
      </c>
      <c r="AA22" s="125" t="s">
        <v>117</v>
      </c>
      <c r="AB22" s="48" t="s">
        <v>114</v>
      </c>
      <c r="AC22" s="55">
        <f>COUNTIFS($C$5:$C$65,"M",$M$5:$M$65,"No")</f>
        <v>5</v>
      </c>
      <c r="AD22" s="132" t="s">
        <v>118</v>
      </c>
      <c r="AE22" s="61" t="s">
        <v>4</v>
      </c>
      <c r="AF22" s="48">
        <f>COUNTIFS($D$5:$D$65,"1",$M$5:$M$65,"Si")</f>
        <v>4</v>
      </c>
      <c r="AG22" s="61" t="s">
        <v>7</v>
      </c>
      <c r="AH22" s="48">
        <f>COUNTIFS($G$5:$G$65,"1",$M$5:$M$65,"Si")</f>
        <v>2</v>
      </c>
      <c r="AI22" s="61" t="s">
        <v>29</v>
      </c>
      <c r="AJ22" s="49">
        <f>COUNTIFS($I$5:$I$65,"Blanco",$M$5:$M$65,"Si")</f>
        <v>2</v>
      </c>
      <c r="AK22" s="50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x14ac:dyDescent="0.25">
      <c r="A23" s="3">
        <v>19</v>
      </c>
      <c r="B23" s="29">
        <v>42927</v>
      </c>
      <c r="C23" s="28" t="s">
        <v>30</v>
      </c>
      <c r="D23" s="28"/>
      <c r="E23" s="28"/>
      <c r="F23" s="28"/>
      <c r="G23" s="28"/>
      <c r="H23" s="28"/>
      <c r="I23" s="28">
        <v>1</v>
      </c>
      <c r="J23" s="33" t="s">
        <v>91</v>
      </c>
      <c r="K23" s="33" t="s">
        <v>89</v>
      </c>
      <c r="L23" s="28" t="s">
        <v>20</v>
      </c>
      <c r="M23" s="28" t="s">
        <v>20</v>
      </c>
      <c r="N23" s="28" t="s">
        <v>25</v>
      </c>
      <c r="O23" s="28" t="s">
        <v>25</v>
      </c>
      <c r="P23" s="28" t="s">
        <v>25</v>
      </c>
      <c r="Q23" s="28" t="s">
        <v>27</v>
      </c>
      <c r="R23" s="28" t="s">
        <v>25</v>
      </c>
      <c r="S23" s="28" t="s">
        <v>20</v>
      </c>
      <c r="U23" s="109"/>
      <c r="V23" s="9" t="s">
        <v>25</v>
      </c>
      <c r="W23" s="15">
        <f>+COUNTIF(M5:M65,"No")</f>
        <v>9</v>
      </c>
      <c r="X23" s="126"/>
      <c r="Y23" s="6" t="s">
        <v>115</v>
      </c>
      <c r="Z23" s="51">
        <f>COUNTIFS($C$5:$C$65,"F",$M$5:$M$65,"Si")</f>
        <v>10</v>
      </c>
      <c r="AA23" s="126"/>
      <c r="AB23" s="6" t="s">
        <v>115</v>
      </c>
      <c r="AC23" s="57">
        <f>COUNTIFS($C$5:$C$65,"F",$M$5:$M$65,"No")</f>
        <v>4</v>
      </c>
      <c r="AD23" s="126"/>
      <c r="AE23" s="6" t="s">
        <v>5</v>
      </c>
      <c r="AF23" s="6">
        <f>COUNTIFS($E$5:$E$65,"1",$M$5:$M$65,"Si")</f>
        <v>3</v>
      </c>
      <c r="AG23" s="39" t="s">
        <v>8</v>
      </c>
      <c r="AH23" s="6">
        <f>COUNTIFS($H$5:$H$65,"1",$M$5:$M$65,"Si")</f>
        <v>5</v>
      </c>
      <c r="AI23" s="6"/>
      <c r="AJ23" s="51"/>
      <c r="AK23" s="50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5.75" thickBot="1" x14ac:dyDescent="0.3">
      <c r="A24" s="3">
        <v>20</v>
      </c>
      <c r="B24" s="29">
        <v>42927</v>
      </c>
      <c r="C24" s="28" t="s">
        <v>23</v>
      </c>
      <c r="D24" s="28"/>
      <c r="E24" s="28">
        <v>1</v>
      </c>
      <c r="F24" s="28"/>
      <c r="G24" s="28"/>
      <c r="H24" s="28"/>
      <c r="I24" s="28"/>
      <c r="J24" s="33" t="s">
        <v>91</v>
      </c>
      <c r="K24" s="33" t="s">
        <v>89</v>
      </c>
      <c r="L24" s="28" t="s">
        <v>25</v>
      </c>
      <c r="M24" s="28" t="s">
        <v>29</v>
      </c>
      <c r="N24" s="28" t="s">
        <v>25</v>
      </c>
      <c r="O24" s="28" t="s">
        <v>25</v>
      </c>
      <c r="P24" s="28" t="s">
        <v>25</v>
      </c>
      <c r="Q24" s="28" t="s">
        <v>26</v>
      </c>
      <c r="R24" s="28" t="s">
        <v>20</v>
      </c>
      <c r="S24" s="28" t="s">
        <v>20</v>
      </c>
      <c r="U24" s="110"/>
      <c r="V24" s="13" t="s">
        <v>29</v>
      </c>
      <c r="W24" s="16">
        <f>+COUNTIF(M5:M65,"Blanco")</f>
        <v>1</v>
      </c>
      <c r="X24" s="127"/>
      <c r="Y24" s="26" t="s">
        <v>29</v>
      </c>
      <c r="Z24" s="52">
        <f>COUNTIFS($C$5:$C$65,"Blanco",$M$5:$M$65,"Si")</f>
        <v>1</v>
      </c>
      <c r="AA24" s="127"/>
      <c r="AB24" s="26" t="s">
        <v>29</v>
      </c>
      <c r="AC24" s="58">
        <f>COUNTIFS($C$5:$C$65,"Blanco",$M$5:$M$65,"No")</f>
        <v>0</v>
      </c>
      <c r="AD24" s="127"/>
      <c r="AE24" s="26" t="s">
        <v>6</v>
      </c>
      <c r="AF24" s="26">
        <f>COUNTIFS($F$5:$F$65,"1",$M$5:$M$65,"Si")</f>
        <v>3</v>
      </c>
      <c r="AG24" s="26" t="s">
        <v>9</v>
      </c>
      <c r="AH24" s="26">
        <f>COUNTIFS($I$5:$I$65,"1",$M$5:$M$65,"Si")</f>
        <v>6</v>
      </c>
      <c r="AI24" s="26"/>
      <c r="AJ24" s="52"/>
      <c r="AK24" s="50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x14ac:dyDescent="0.25">
      <c r="A25" s="3">
        <v>21</v>
      </c>
      <c r="B25" s="29">
        <v>42927</v>
      </c>
      <c r="C25" s="28" t="s">
        <v>23</v>
      </c>
      <c r="D25" s="28"/>
      <c r="E25" s="28"/>
      <c r="F25" s="28"/>
      <c r="G25" s="28"/>
      <c r="H25" s="28">
        <v>1</v>
      </c>
      <c r="I25" s="28"/>
      <c r="J25" s="33" t="s">
        <v>91</v>
      </c>
      <c r="K25" s="33" t="s">
        <v>89</v>
      </c>
      <c r="L25" s="28" t="s">
        <v>25</v>
      </c>
      <c r="M25" s="28" t="s">
        <v>25</v>
      </c>
      <c r="N25" s="28" t="s">
        <v>25</v>
      </c>
      <c r="O25" s="28" t="s">
        <v>25</v>
      </c>
      <c r="P25" s="28" t="s">
        <v>25</v>
      </c>
      <c r="Q25" s="28" t="s">
        <v>26</v>
      </c>
      <c r="R25" s="28" t="s">
        <v>25</v>
      </c>
      <c r="S25" s="28" t="s">
        <v>20</v>
      </c>
      <c r="U25" s="137" t="s">
        <v>38</v>
      </c>
      <c r="V25" s="12" t="s">
        <v>20</v>
      </c>
      <c r="W25" s="14">
        <f>+COUNTIF(N5:N65,"Si")</f>
        <v>10</v>
      </c>
      <c r="X25" s="125" t="s">
        <v>118</v>
      </c>
      <c r="Y25" s="48" t="s">
        <v>114</v>
      </c>
      <c r="Z25" s="49">
        <f>COUNTIFS($C$5:$C$65,"M",$N$5:$N$65,"Si")</f>
        <v>5</v>
      </c>
      <c r="AA25" s="125" t="s">
        <v>117</v>
      </c>
      <c r="AB25" s="48" t="s">
        <v>114</v>
      </c>
      <c r="AC25" s="55">
        <f>COUNTIFS($C$5:$C$65,"M",$N$5:$N$65,"No")</f>
        <v>14</v>
      </c>
      <c r="AD25" s="125" t="s">
        <v>117</v>
      </c>
      <c r="AE25" s="48" t="s">
        <v>4</v>
      </c>
      <c r="AF25" s="48">
        <f>COUNTIFS($D$5:$D$65,"1",$N$5:$N$65,"No")</f>
        <v>4</v>
      </c>
      <c r="AG25" s="48" t="s">
        <v>7</v>
      </c>
      <c r="AH25" s="48">
        <f>COUNTIFS($G$5:$G$65,"1",$N$5:$N$65,"No")</f>
        <v>0</v>
      </c>
      <c r="AI25" s="48" t="s">
        <v>29</v>
      </c>
      <c r="AJ25" s="49">
        <f>COUNTIFS($I$5:$I$65,"Blanco",$N$5:$N$65,"No")</f>
        <v>0</v>
      </c>
      <c r="AK25" s="50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x14ac:dyDescent="0.25">
      <c r="A26" s="3">
        <v>22</v>
      </c>
      <c r="B26" s="29">
        <v>42927</v>
      </c>
      <c r="C26" s="28" t="s">
        <v>23</v>
      </c>
      <c r="D26" s="28"/>
      <c r="E26" s="28"/>
      <c r="F26" s="28"/>
      <c r="G26" s="28"/>
      <c r="H26" s="28">
        <v>1</v>
      </c>
      <c r="I26" s="28"/>
      <c r="J26" s="33" t="s">
        <v>91</v>
      </c>
      <c r="K26" s="6" t="s">
        <v>90</v>
      </c>
      <c r="L26" s="28" t="s">
        <v>25</v>
      </c>
      <c r="M26" s="28" t="s">
        <v>25</v>
      </c>
      <c r="N26" s="28" t="s">
        <v>25</v>
      </c>
      <c r="O26" s="28" t="s">
        <v>25</v>
      </c>
      <c r="P26" s="28" t="s">
        <v>25</v>
      </c>
      <c r="Q26" s="28" t="s">
        <v>28</v>
      </c>
      <c r="R26" s="28" t="s">
        <v>25</v>
      </c>
      <c r="S26" s="28" t="s">
        <v>25</v>
      </c>
      <c r="U26" s="109"/>
      <c r="V26" s="9" t="s">
        <v>25</v>
      </c>
      <c r="W26" s="15">
        <f>+COUNTIF(N5:N65,"No")</f>
        <v>24</v>
      </c>
      <c r="X26" s="126"/>
      <c r="Y26" s="6" t="s">
        <v>115</v>
      </c>
      <c r="Z26" s="51">
        <f>COUNTIFS($C$5:$C$65,"F",$N$5:$N$65,"Si")</f>
        <v>4</v>
      </c>
      <c r="AA26" s="126"/>
      <c r="AB26" s="6" t="s">
        <v>115</v>
      </c>
      <c r="AC26" s="57">
        <f>COUNTIFS($C$5:$C$65,"F",$N$5:$N$65,"No")</f>
        <v>10</v>
      </c>
      <c r="AD26" s="126"/>
      <c r="AE26" s="6" t="s">
        <v>5</v>
      </c>
      <c r="AF26" s="6">
        <f>COUNTIFS($E$5:$E$65,"1",$N$5:$N$65,"No")</f>
        <v>2</v>
      </c>
      <c r="AG26" s="39" t="s">
        <v>8</v>
      </c>
      <c r="AH26" s="6">
        <f>COUNTIFS($H$5:$H$65,"1",$N$5:$N$65,"No")</f>
        <v>7</v>
      </c>
      <c r="AI26" s="6"/>
      <c r="AJ26" s="51"/>
      <c r="AK26" s="50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5.75" thickBot="1" x14ac:dyDescent="0.3">
      <c r="A27" s="3">
        <v>23</v>
      </c>
      <c r="B27" s="29">
        <v>42929</v>
      </c>
      <c r="C27" s="28" t="s">
        <v>23</v>
      </c>
      <c r="D27" s="28">
        <v>1</v>
      </c>
      <c r="E27" s="28"/>
      <c r="F27" s="28"/>
      <c r="G27" s="28"/>
      <c r="H27" s="28"/>
      <c r="I27" s="28"/>
      <c r="J27" s="33" t="s">
        <v>91</v>
      </c>
      <c r="K27" s="6" t="s">
        <v>90</v>
      </c>
      <c r="L27" s="28" t="s">
        <v>25</v>
      </c>
      <c r="M27" s="28" t="s">
        <v>25</v>
      </c>
      <c r="N27" s="28" t="s">
        <v>25</v>
      </c>
      <c r="O27" s="28" t="s">
        <v>25</v>
      </c>
      <c r="P27" s="28" t="s">
        <v>20</v>
      </c>
      <c r="Q27" s="28" t="s">
        <v>27</v>
      </c>
      <c r="R27" s="28" t="s">
        <v>25</v>
      </c>
      <c r="S27" s="28" t="s">
        <v>25</v>
      </c>
      <c r="U27" s="110"/>
      <c r="V27" s="13" t="s">
        <v>29</v>
      </c>
      <c r="W27" s="16">
        <f>+COUNTIF(N5:N65,"Blanco")</f>
        <v>1</v>
      </c>
      <c r="X27" s="127"/>
      <c r="Y27" s="26" t="s">
        <v>29</v>
      </c>
      <c r="Z27" s="52">
        <f>COUNTIFS($C$5:$C$65,"Blanco",$N$5:N65,"Si")</f>
        <v>1</v>
      </c>
      <c r="AA27" s="127"/>
      <c r="AB27" s="26" t="s">
        <v>29</v>
      </c>
      <c r="AC27" s="58">
        <f>COUNTIFS($C$5:$C$65,"Blanco",$N$5:$N$65,"No")</f>
        <v>0</v>
      </c>
      <c r="AD27" s="127"/>
      <c r="AE27" s="26" t="s">
        <v>6</v>
      </c>
      <c r="AF27" s="26">
        <f>COUNTIFS($F$5:$F$65,"1",$N$5:$N$65,"No")</f>
        <v>3</v>
      </c>
      <c r="AG27" s="26" t="s">
        <v>9</v>
      </c>
      <c r="AH27" s="26">
        <f>COUNTIFS($I$5:$I$65,"1",$N$5:$N$65,"No")</f>
        <v>8</v>
      </c>
      <c r="AI27" s="26"/>
      <c r="AJ27" s="52"/>
      <c r="AK27" s="50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x14ac:dyDescent="0.25">
      <c r="A28" s="3">
        <v>24</v>
      </c>
      <c r="B28" s="29">
        <v>42929</v>
      </c>
      <c r="C28" s="28" t="s">
        <v>30</v>
      </c>
      <c r="D28" s="28"/>
      <c r="E28" s="28"/>
      <c r="F28" s="28"/>
      <c r="G28" s="28"/>
      <c r="H28" s="28"/>
      <c r="I28" s="28">
        <v>1</v>
      </c>
      <c r="J28" s="33" t="s">
        <v>91</v>
      </c>
      <c r="K28" s="6" t="s">
        <v>90</v>
      </c>
      <c r="L28" s="28" t="s">
        <v>20</v>
      </c>
      <c r="M28" s="28" t="s">
        <v>20</v>
      </c>
      <c r="N28" s="28" t="s">
        <v>20</v>
      </c>
      <c r="O28" s="28" t="s">
        <v>20</v>
      </c>
      <c r="P28" s="28" t="s">
        <v>20</v>
      </c>
      <c r="Q28" s="28" t="s">
        <v>27</v>
      </c>
      <c r="R28" s="28" t="s">
        <v>20</v>
      </c>
      <c r="S28" s="28" t="s">
        <v>20</v>
      </c>
      <c r="U28" s="137" t="s">
        <v>39</v>
      </c>
      <c r="V28" s="12" t="s">
        <v>20</v>
      </c>
      <c r="W28" s="14">
        <f>+COUNTIF(O5:O65,"Si")</f>
        <v>9</v>
      </c>
      <c r="X28" s="125" t="s">
        <v>118</v>
      </c>
      <c r="Y28" s="48" t="s">
        <v>114</v>
      </c>
      <c r="Z28" s="49">
        <f>COUNTIFS($C$5:$C$65,"M",$O$5:O65,"Si")</f>
        <v>5</v>
      </c>
      <c r="AA28" s="128" t="s">
        <v>117</v>
      </c>
      <c r="AB28" s="19" t="s">
        <v>114</v>
      </c>
      <c r="AC28" s="65">
        <f>COUNTIFS($C$5:$C$65,"M",$O$5:$O$65,"No")</f>
        <v>14</v>
      </c>
      <c r="AD28" s="128" t="s">
        <v>117</v>
      </c>
      <c r="AE28" s="19" t="s">
        <v>4</v>
      </c>
      <c r="AF28" s="19">
        <f>COUNTIFS($D$5:$D$65,"1",$O$5:$O$65,"No")</f>
        <v>3</v>
      </c>
      <c r="AG28" s="19" t="s">
        <v>7</v>
      </c>
      <c r="AH28" s="19">
        <f>COUNTIFS($G$5:$G$65,"1",$O$5:$O$65,"No")</f>
        <v>1</v>
      </c>
      <c r="AI28" s="19" t="s">
        <v>29</v>
      </c>
      <c r="AJ28" s="66">
        <f>COUNTIFS($I$5:$I$65,"Blanco",$O$5:$O$65,"No")</f>
        <v>1</v>
      </c>
      <c r="AK28" s="50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x14ac:dyDescent="0.25">
      <c r="A29" s="3">
        <v>25</v>
      </c>
      <c r="B29" s="29">
        <v>42928</v>
      </c>
      <c r="C29" s="28" t="s">
        <v>30</v>
      </c>
      <c r="D29" s="28"/>
      <c r="E29" s="28"/>
      <c r="F29" s="28"/>
      <c r="G29" s="28"/>
      <c r="H29" s="28">
        <v>1</v>
      </c>
      <c r="I29" s="28"/>
      <c r="J29" s="33" t="s">
        <v>91</v>
      </c>
      <c r="K29" s="6" t="s">
        <v>90</v>
      </c>
      <c r="L29" s="28" t="s">
        <v>20</v>
      </c>
      <c r="M29" s="28" t="s">
        <v>20</v>
      </c>
      <c r="N29" s="28" t="s">
        <v>25</v>
      </c>
      <c r="O29" s="28" t="s">
        <v>25</v>
      </c>
      <c r="P29" s="28" t="s">
        <v>25</v>
      </c>
      <c r="Q29" s="28" t="s">
        <v>34</v>
      </c>
      <c r="R29" s="28" t="s">
        <v>20</v>
      </c>
      <c r="S29" s="28" t="s">
        <v>20</v>
      </c>
      <c r="U29" s="109"/>
      <c r="V29" s="9" t="s">
        <v>25</v>
      </c>
      <c r="W29" s="15">
        <f>+COUNTIF(O5:O65,"No")</f>
        <v>26</v>
      </c>
      <c r="X29" s="126"/>
      <c r="Y29" s="6" t="s">
        <v>115</v>
      </c>
      <c r="Z29" s="51">
        <f>COUNTIFS($C$5:$C$65,"F",$O$5:$O$65,"Si")</f>
        <v>3</v>
      </c>
      <c r="AA29" s="129"/>
      <c r="AB29" s="35" t="s">
        <v>115</v>
      </c>
      <c r="AC29" s="67">
        <f>COUNTIFS($C$2:$C$65,"F",$O$2:$O$65,"No")</f>
        <v>12</v>
      </c>
      <c r="AD29" s="129"/>
      <c r="AE29" s="35" t="s">
        <v>5</v>
      </c>
      <c r="AF29" s="35">
        <f>COUNTIFS($E$5:$E$65,"1",$O$5:$O$65,"No")</f>
        <v>3</v>
      </c>
      <c r="AG29" s="9" t="s">
        <v>8</v>
      </c>
      <c r="AH29" s="35">
        <f>COUNTIFS($H$5:$H$65,"1",$O$5:$O$65,"No")</f>
        <v>7</v>
      </c>
      <c r="AI29" s="35"/>
      <c r="AJ29" s="68"/>
      <c r="AK29" s="50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5.75" thickBot="1" x14ac:dyDescent="0.3">
      <c r="A30" s="3">
        <v>26</v>
      </c>
      <c r="B30" s="29">
        <v>42928</v>
      </c>
      <c r="C30" s="28" t="s">
        <v>23</v>
      </c>
      <c r="D30" s="28"/>
      <c r="E30" s="28"/>
      <c r="F30" s="28"/>
      <c r="G30" s="28"/>
      <c r="H30" s="28"/>
      <c r="I30" s="28">
        <v>1</v>
      </c>
      <c r="J30" s="33" t="s">
        <v>91</v>
      </c>
      <c r="K30" s="6" t="s">
        <v>90</v>
      </c>
      <c r="L30" s="28" t="s">
        <v>20</v>
      </c>
      <c r="M30" s="28" t="s">
        <v>25</v>
      </c>
      <c r="N30" s="28" t="s">
        <v>29</v>
      </c>
      <c r="O30" s="28" t="s">
        <v>25</v>
      </c>
      <c r="P30" s="28" t="s">
        <v>25</v>
      </c>
      <c r="Q30" s="28" t="s">
        <v>27</v>
      </c>
      <c r="R30" s="28" t="s">
        <v>25</v>
      </c>
      <c r="S30" s="28" t="s">
        <v>25</v>
      </c>
      <c r="U30" s="110"/>
      <c r="V30" s="13" t="s">
        <v>29</v>
      </c>
      <c r="W30" s="16">
        <f>+COUNTIF(O5:O65,"Blanco")</f>
        <v>0</v>
      </c>
      <c r="X30" s="127"/>
      <c r="Y30" s="26" t="s">
        <v>29</v>
      </c>
      <c r="Z30" s="52">
        <f>COUNTIFS($C$5:$C$65,"Blanco",$O$5:$O$65,"Si")</f>
        <v>1</v>
      </c>
      <c r="AA30" s="130"/>
      <c r="AB30" s="27" t="s">
        <v>29</v>
      </c>
      <c r="AC30" s="69">
        <f>COUNTIFS($C$2:$C$65,"Blanco",$O$2:$O$65,"No")</f>
        <v>0</v>
      </c>
      <c r="AD30" s="130"/>
      <c r="AE30" s="27" t="s">
        <v>6</v>
      </c>
      <c r="AF30" s="27">
        <f>COUNTIFS($F$5:$F$65,"1",$O$5:$O$65,"No")</f>
        <v>3</v>
      </c>
      <c r="AG30" s="27" t="s">
        <v>9</v>
      </c>
      <c r="AH30" s="27">
        <f>COUNTIFS($I$5:$I$65,"1",$O$5:$O$65,"No")</f>
        <v>8</v>
      </c>
      <c r="AI30" s="27"/>
      <c r="AJ30" s="70"/>
      <c r="AK30" s="50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x14ac:dyDescent="0.25">
      <c r="A31" s="3">
        <v>27</v>
      </c>
      <c r="B31" s="29">
        <v>42927</v>
      </c>
      <c r="C31" s="28" t="s">
        <v>23</v>
      </c>
      <c r="D31" s="28"/>
      <c r="E31" s="28"/>
      <c r="F31" s="28"/>
      <c r="G31" s="28"/>
      <c r="H31" s="28"/>
      <c r="I31" s="28" t="s">
        <v>29</v>
      </c>
      <c r="J31" s="33" t="s">
        <v>91</v>
      </c>
      <c r="K31" s="6" t="s">
        <v>90</v>
      </c>
      <c r="L31" s="28" t="s">
        <v>20</v>
      </c>
      <c r="M31" s="28" t="s">
        <v>20</v>
      </c>
      <c r="N31" s="28" t="s">
        <v>20</v>
      </c>
      <c r="O31" s="28" t="s">
        <v>25</v>
      </c>
      <c r="P31" s="28" t="s">
        <v>20</v>
      </c>
      <c r="Q31" s="28" t="s">
        <v>27</v>
      </c>
      <c r="R31" s="28" t="s">
        <v>20</v>
      </c>
      <c r="S31" s="28" t="s">
        <v>25</v>
      </c>
      <c r="U31" s="137" t="s">
        <v>40</v>
      </c>
      <c r="V31" s="12" t="s">
        <v>20</v>
      </c>
      <c r="W31" s="14">
        <f>+COUNTIF(P5:P65,"Si")</f>
        <v>9</v>
      </c>
      <c r="X31" s="125" t="s">
        <v>118</v>
      </c>
      <c r="Y31" s="48" t="s">
        <v>114</v>
      </c>
      <c r="Z31" s="49">
        <f>COUNTIFS($C$5:$C$65,"M",$P$5:$P$65,"Si")</f>
        <v>4</v>
      </c>
      <c r="AA31" s="128" t="s">
        <v>117</v>
      </c>
      <c r="AB31" s="19" t="s">
        <v>114</v>
      </c>
      <c r="AC31" s="65">
        <f>COUNTIFS($C$5:$C$65,"M",$P$5:$P$65,"No")</f>
        <v>15</v>
      </c>
      <c r="AD31" s="128" t="s">
        <v>117</v>
      </c>
      <c r="AE31" s="19" t="s">
        <v>4</v>
      </c>
      <c r="AF31" s="19">
        <f>COUNTIFS($D$5:$D$65,"1",$P$5:$P$65,"No")</f>
        <v>4</v>
      </c>
      <c r="AG31" s="19" t="s">
        <v>7</v>
      </c>
      <c r="AH31" s="19">
        <f>COUNTIFS($G$5:$G$65,"1",$P$5:$P$65,"No")</f>
        <v>2</v>
      </c>
      <c r="AI31" s="19" t="s">
        <v>29</v>
      </c>
      <c r="AJ31" s="66">
        <f>COUNTIFS($I$5:$I$65,"Blanco",$P$5:$P$65,"No")</f>
        <v>0</v>
      </c>
      <c r="AK31" s="50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x14ac:dyDescent="0.25">
      <c r="A32" s="3">
        <v>28</v>
      </c>
      <c r="B32" s="29">
        <v>42927</v>
      </c>
      <c r="C32" s="28" t="s">
        <v>23</v>
      </c>
      <c r="D32" s="28">
        <v>1</v>
      </c>
      <c r="E32" s="28"/>
      <c r="F32" s="28"/>
      <c r="G32" s="28"/>
      <c r="H32" s="28"/>
      <c r="I32" s="28"/>
      <c r="J32" s="33" t="s">
        <v>91</v>
      </c>
      <c r="K32" s="6" t="s">
        <v>90</v>
      </c>
      <c r="L32" s="28" t="s">
        <v>20</v>
      </c>
      <c r="M32" s="28" t="s">
        <v>20</v>
      </c>
      <c r="N32" s="28" t="s">
        <v>20</v>
      </c>
      <c r="O32" s="28" t="s">
        <v>20</v>
      </c>
      <c r="P32" s="28" t="s">
        <v>25</v>
      </c>
      <c r="Q32" s="28" t="s">
        <v>27</v>
      </c>
      <c r="R32" s="28" t="s">
        <v>20</v>
      </c>
      <c r="S32" s="28" t="s">
        <v>20</v>
      </c>
      <c r="U32" s="109"/>
      <c r="V32" s="9" t="s">
        <v>25</v>
      </c>
      <c r="W32" s="15">
        <f>+COUNTIF(P5:P65,"No")</f>
        <v>26</v>
      </c>
      <c r="X32" s="126"/>
      <c r="Y32" s="6" t="s">
        <v>115</v>
      </c>
      <c r="Z32" s="51">
        <f>COUNTIFS($C$5:$C$65,"F",$P$5:$P$65,"Si")</f>
        <v>4</v>
      </c>
      <c r="AA32" s="129"/>
      <c r="AB32" s="35" t="s">
        <v>115</v>
      </c>
      <c r="AC32" s="67">
        <f>COUNTIFS($C$5:$C$65,"F",$P$5:$P$65,"NO")</f>
        <v>11</v>
      </c>
      <c r="AD32" s="129"/>
      <c r="AE32" s="35" t="s">
        <v>5</v>
      </c>
      <c r="AF32" s="35">
        <f>COUNTIFS($E$5:$E$65,"1",$P$5:$P$65,"No")</f>
        <v>3</v>
      </c>
      <c r="AG32" s="9" t="s">
        <v>8</v>
      </c>
      <c r="AH32" s="35">
        <f>COUNTIFS($H$5:$H$65,"1",$P$5:$P$65,"No")</f>
        <v>7</v>
      </c>
      <c r="AI32" s="35"/>
      <c r="AJ32" s="68"/>
      <c r="AK32" s="50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5.75" thickBot="1" x14ac:dyDescent="0.3">
      <c r="A33" s="3">
        <v>29</v>
      </c>
      <c r="B33" s="29">
        <v>42929</v>
      </c>
      <c r="C33" s="28" t="s">
        <v>23</v>
      </c>
      <c r="D33" s="28"/>
      <c r="E33" s="28"/>
      <c r="F33" s="28"/>
      <c r="G33" s="28"/>
      <c r="H33" s="28"/>
      <c r="I33" s="28">
        <v>1</v>
      </c>
      <c r="J33" s="33" t="s">
        <v>91</v>
      </c>
      <c r="K33" s="6" t="s">
        <v>90</v>
      </c>
      <c r="L33" s="28" t="s">
        <v>20</v>
      </c>
      <c r="M33" s="28" t="s">
        <v>20</v>
      </c>
      <c r="N33" s="28" t="s">
        <v>25</v>
      </c>
      <c r="O33" s="28" t="s">
        <v>25</v>
      </c>
      <c r="P33" s="28" t="s">
        <v>20</v>
      </c>
      <c r="Q33" s="28" t="s">
        <v>27</v>
      </c>
      <c r="R33" s="28" t="s">
        <v>20</v>
      </c>
      <c r="S33" s="28" t="s">
        <v>20</v>
      </c>
      <c r="U33" s="110"/>
      <c r="V33" s="13" t="s">
        <v>29</v>
      </c>
      <c r="W33" s="16">
        <f>+COUNTIF(P5:P65,"Blanco")</f>
        <v>0</v>
      </c>
      <c r="X33" s="154"/>
      <c r="Y33" s="34" t="s">
        <v>29</v>
      </c>
      <c r="Z33" s="53">
        <f>COUNTIFS($C$5:$C$65,"Blanco",$P$5:$P$65,"Si")</f>
        <v>1</v>
      </c>
      <c r="AA33" s="153"/>
      <c r="AB33" s="71" t="s">
        <v>29</v>
      </c>
      <c r="AC33" s="72">
        <f>COUNTIFS($C$5:$C$65,"Blanco",$P$5:$P$65,"No")</f>
        <v>0</v>
      </c>
      <c r="AD33" s="130"/>
      <c r="AE33" s="27" t="s">
        <v>6</v>
      </c>
      <c r="AF33" s="27">
        <f>COUNTIFS($F$5:$F$65,"1",$P$5:$P$65,"No")</f>
        <v>3</v>
      </c>
      <c r="AG33" s="71" t="s">
        <v>9</v>
      </c>
      <c r="AH33" s="71">
        <f>COUNTIFS($I$5:$I$65,"1",$P$5:$P$65,"No")</f>
        <v>7</v>
      </c>
      <c r="AI33" s="71"/>
      <c r="AJ33" s="73"/>
      <c r="AK33" s="5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</row>
    <row r="34" spans="1:50" x14ac:dyDescent="0.25">
      <c r="A34" s="3">
        <v>30</v>
      </c>
      <c r="B34" s="29">
        <v>42928</v>
      </c>
      <c r="C34" s="28" t="s">
        <v>30</v>
      </c>
      <c r="D34" s="28"/>
      <c r="E34" s="28"/>
      <c r="F34" s="28"/>
      <c r="G34" s="28"/>
      <c r="H34" s="28"/>
      <c r="I34" s="28">
        <v>1</v>
      </c>
      <c r="J34" s="33" t="s">
        <v>91</v>
      </c>
      <c r="K34" s="6" t="s">
        <v>90</v>
      </c>
      <c r="L34" s="28" t="s">
        <v>25</v>
      </c>
      <c r="M34" s="28" t="s">
        <v>25</v>
      </c>
      <c r="N34" s="28" t="s">
        <v>25</v>
      </c>
      <c r="O34" s="28" t="s">
        <v>25</v>
      </c>
      <c r="P34" s="28" t="s">
        <v>25</v>
      </c>
      <c r="Q34" s="28" t="s">
        <v>28</v>
      </c>
      <c r="R34" s="28" t="s">
        <v>25</v>
      </c>
      <c r="S34" s="28" t="s">
        <v>25</v>
      </c>
      <c r="U34" s="137" t="s">
        <v>41</v>
      </c>
      <c r="V34" s="12" t="s">
        <v>27</v>
      </c>
      <c r="W34" s="14">
        <f>+COUNTIF(Q5:Q65,"Elevada")</f>
        <v>13</v>
      </c>
      <c r="X34" s="125" t="s">
        <v>116</v>
      </c>
      <c r="Y34" s="48" t="s">
        <v>114</v>
      </c>
      <c r="Z34" s="49">
        <f>COUNTIFS($C$5:$C$65,"M",$Q$5:$Q$65,"Elevada")</f>
        <v>7</v>
      </c>
      <c r="AA34" s="125" t="s">
        <v>119</v>
      </c>
      <c r="AB34" s="48" t="s">
        <v>114</v>
      </c>
      <c r="AC34" s="49">
        <f>COUNTIFS($C$5:$C$65,"M",$Q$5:$Q$65,"Alguna")</f>
        <v>8</v>
      </c>
      <c r="AD34" s="125" t="s">
        <v>120</v>
      </c>
      <c r="AE34" s="48" t="s">
        <v>114</v>
      </c>
      <c r="AF34" s="49">
        <f>COUNTIFS($C$5:$C$65,"M",$Q$5:$Q$65,"Poca")</f>
        <v>3</v>
      </c>
      <c r="AG34" s="125" t="s">
        <v>121</v>
      </c>
      <c r="AH34" s="48" t="s">
        <v>114</v>
      </c>
      <c r="AI34" s="55">
        <f>COUNTIFS($C$5:$C$65,"M",$Q$5:$Q$65,"Ninguna")</f>
        <v>1</v>
      </c>
      <c r="AJ34" s="55"/>
      <c r="AK34" s="125" t="s">
        <v>122</v>
      </c>
      <c r="AL34" s="56" t="s">
        <v>4</v>
      </c>
      <c r="AM34" s="48">
        <f>COUNTIFS($D$5:$D$65,"1",$Q$5:$Q$65,"Elevada")</f>
        <v>2</v>
      </c>
      <c r="AN34" s="48" t="s">
        <v>7</v>
      </c>
      <c r="AO34" s="48">
        <f>COUNTIFS($G$5:$G$65,"1",$Q$5:$Q$65,"Elevada")</f>
        <v>1</v>
      </c>
      <c r="AP34" s="48" t="s">
        <v>29</v>
      </c>
      <c r="AQ34" s="49">
        <f>COUNTIFS($I$5:$I$65,"Blanco",$Q$5:$Q$65,"Elevada")</f>
        <v>1</v>
      </c>
      <c r="AR34" s="125" t="s">
        <v>119</v>
      </c>
      <c r="AS34" s="48" t="s">
        <v>4</v>
      </c>
      <c r="AT34" s="48">
        <f>COUNTIFS($D$5:$D$65,"1",$Q$5:$Q$65,"Alguna")</f>
        <v>1</v>
      </c>
      <c r="AU34" s="48" t="s">
        <v>7</v>
      </c>
      <c r="AV34" s="48">
        <f>COUNTIFS($G$5:$G$65,"1",$Q$5:$Q$65,"Alguna")</f>
        <v>1</v>
      </c>
      <c r="AW34" s="48" t="s">
        <v>29</v>
      </c>
      <c r="AX34" s="49">
        <f>COUNTIFS($I$5:$I$65,"Blanco",$Q$5:$Q$65,"Alguna")</f>
        <v>1</v>
      </c>
    </row>
    <row r="35" spans="1:50" x14ac:dyDescent="0.25">
      <c r="A35" s="3">
        <v>31</v>
      </c>
      <c r="B35" s="29">
        <v>42929</v>
      </c>
      <c r="C35" s="28" t="s">
        <v>30</v>
      </c>
      <c r="D35" s="28"/>
      <c r="E35" s="28"/>
      <c r="F35" s="28"/>
      <c r="G35" s="28"/>
      <c r="H35" s="28"/>
      <c r="I35" s="28">
        <v>1</v>
      </c>
      <c r="J35" s="33" t="s">
        <v>91</v>
      </c>
      <c r="K35" s="6" t="s">
        <v>90</v>
      </c>
      <c r="L35" s="28" t="s">
        <v>25</v>
      </c>
      <c r="M35" s="28" t="s">
        <v>25</v>
      </c>
      <c r="N35" s="28" t="s">
        <v>25</v>
      </c>
      <c r="O35" s="28" t="s">
        <v>25</v>
      </c>
      <c r="P35" s="28" t="s">
        <v>25</v>
      </c>
      <c r="Q35" s="28" t="s">
        <v>28</v>
      </c>
      <c r="R35" s="28" t="s">
        <v>25</v>
      </c>
      <c r="S35" s="28" t="s">
        <v>25</v>
      </c>
      <c r="U35" s="109"/>
      <c r="V35" s="9" t="s">
        <v>28</v>
      </c>
      <c r="W35" s="15">
        <f>+COUNTIF(Q5:Q65,"Alguna")</f>
        <v>12</v>
      </c>
      <c r="X35" s="126"/>
      <c r="Y35" s="6" t="s">
        <v>115</v>
      </c>
      <c r="Z35" s="51">
        <f>COUNTIFS($C$5:$C$65,"F",$Q$5:$Q$65,"Elevada")</f>
        <v>6</v>
      </c>
      <c r="AA35" s="126"/>
      <c r="AB35" s="6" t="s">
        <v>115</v>
      </c>
      <c r="AC35" s="51">
        <f>COUNTIFS($C$5:$C$65,"F",$Q$5:$Q$65,"Alguna")</f>
        <v>3</v>
      </c>
      <c r="AD35" s="126"/>
      <c r="AE35" s="6" t="s">
        <v>115</v>
      </c>
      <c r="AF35" s="51">
        <f>COUNTIFS($C$5:$C$65,"F",$Q$5:$Q$65,"Poca")</f>
        <v>6</v>
      </c>
      <c r="AG35" s="126"/>
      <c r="AH35" s="6" t="s">
        <v>115</v>
      </c>
      <c r="AI35" s="57">
        <f>COUNTIFS($C$5:$C$65,"F",$Q$5:$Q$65,"Ninguna")</f>
        <v>0</v>
      </c>
      <c r="AJ35" s="57"/>
      <c r="AK35" s="126"/>
      <c r="AL35" s="50" t="s">
        <v>5</v>
      </c>
      <c r="AM35" s="6">
        <f>COUNTIFS($E$5:$E$65,"1",$Q$5:$Q$65,"Elevada")</f>
        <v>2</v>
      </c>
      <c r="AN35" s="39" t="s">
        <v>8</v>
      </c>
      <c r="AO35" s="6">
        <f>COUNTIFS($H$5:$H$65,"1",$Q$5:$Q$65,"Elevada")</f>
        <v>1</v>
      </c>
      <c r="AP35" s="6"/>
      <c r="AQ35" s="51"/>
      <c r="AR35" s="126"/>
      <c r="AS35" s="6" t="s">
        <v>5</v>
      </c>
      <c r="AT35" s="6">
        <f>COUNTIFS($E$5:$E$65,"1",$Q$5:$Q$65,"Alguna")</f>
        <v>1</v>
      </c>
      <c r="AU35" s="39" t="s">
        <v>8</v>
      </c>
      <c r="AV35" s="6">
        <f>COUNTIFS($H$5:$H$65,"1",$Q$5:$Q$65,"Alguna")</f>
        <v>3</v>
      </c>
      <c r="AW35" s="6"/>
      <c r="AX35" s="51"/>
    </row>
    <row r="36" spans="1:50" ht="15.75" thickBot="1" x14ac:dyDescent="0.3">
      <c r="A36" s="3">
        <v>32</v>
      </c>
      <c r="B36" s="29">
        <v>42929</v>
      </c>
      <c r="C36" s="28" t="s">
        <v>29</v>
      </c>
      <c r="D36" s="28"/>
      <c r="E36" s="28"/>
      <c r="F36" s="28"/>
      <c r="G36" s="28"/>
      <c r="H36" s="28"/>
      <c r="I36" s="28" t="s">
        <v>29</v>
      </c>
      <c r="J36" s="33" t="s">
        <v>91</v>
      </c>
      <c r="K36" s="6" t="s">
        <v>90</v>
      </c>
      <c r="L36" s="28" t="s">
        <v>20</v>
      </c>
      <c r="M36" s="28" t="s">
        <v>20</v>
      </c>
      <c r="N36" s="28" t="s">
        <v>20</v>
      </c>
      <c r="O36" s="28" t="s">
        <v>20</v>
      </c>
      <c r="P36" s="28" t="s">
        <v>20</v>
      </c>
      <c r="Q36" s="28" t="s">
        <v>28</v>
      </c>
      <c r="R36" s="28" t="s">
        <v>20</v>
      </c>
      <c r="S36" s="28" t="s">
        <v>20</v>
      </c>
      <c r="U36" s="109"/>
      <c r="V36" s="9" t="s">
        <v>26</v>
      </c>
      <c r="W36" s="15">
        <f>+COUNTIF(Q5:Q65,"Poca")</f>
        <v>9</v>
      </c>
      <c r="X36" s="127"/>
      <c r="Y36" s="26" t="s">
        <v>29</v>
      </c>
      <c r="Z36" s="52">
        <f>COUNTIFS($C$5:$C$65,"Blanco",Q5:Q65,"Elevada")</f>
        <v>0</v>
      </c>
      <c r="AA36" s="127"/>
      <c r="AB36" s="26" t="s">
        <v>29</v>
      </c>
      <c r="AC36" s="52">
        <f>COUNTIFS($C$5:$C$65,"Blanco",$Q$5:$Q$65,"Alguna")</f>
        <v>1</v>
      </c>
      <c r="AD36" s="127"/>
      <c r="AE36" s="26" t="s">
        <v>29</v>
      </c>
      <c r="AF36" s="52">
        <f>COUNTIFS($C$5:$C$65,"Blanco",$Q$5:$Q$65,"Poca")</f>
        <v>0</v>
      </c>
      <c r="AG36" s="127"/>
      <c r="AH36" s="26" t="s">
        <v>29</v>
      </c>
      <c r="AI36" s="58">
        <f>COUNTIFS($C$5:$C$65,"Blanco",$Q$5:$Q$65,"Ninguna")</f>
        <v>0</v>
      </c>
      <c r="AJ36" s="58"/>
      <c r="AK36" s="127"/>
      <c r="AL36" s="59" t="s">
        <v>6</v>
      </c>
      <c r="AM36" s="26">
        <f>COUNTIFS($F$5:$F$65,"1",$Q$5:$Q$65,"Elevada")</f>
        <v>1</v>
      </c>
      <c r="AN36" s="26" t="s">
        <v>9</v>
      </c>
      <c r="AO36" s="26">
        <f>COUNTIFS(I5:$I$65,"1",$Q$5:$Q$65,"Elevada")</f>
        <v>5</v>
      </c>
      <c r="AP36" s="26"/>
      <c r="AQ36" s="52"/>
      <c r="AR36" s="127"/>
      <c r="AS36" s="26" t="s">
        <v>6</v>
      </c>
      <c r="AT36" s="26">
        <f>COUNTIFS($F$5:$F$65,"1",$Q$5:$Q$65,"Alguna")</f>
        <v>3</v>
      </c>
      <c r="AU36" s="26" t="s">
        <v>9</v>
      </c>
      <c r="AV36" s="26">
        <f>COUNTIFS($I$5:$I$65,"1",$Q$5:$Q$65,"Alguna")</f>
        <v>2</v>
      </c>
      <c r="AW36" s="26"/>
      <c r="AX36" s="52"/>
    </row>
    <row r="37" spans="1:50" ht="15.75" thickBot="1" x14ac:dyDescent="0.3">
      <c r="A37" s="3">
        <v>33</v>
      </c>
      <c r="B37" s="29">
        <v>42927</v>
      </c>
      <c r="C37" s="28" t="s">
        <v>23</v>
      </c>
      <c r="D37" s="28">
        <v>1</v>
      </c>
      <c r="E37" s="28"/>
      <c r="F37" s="28"/>
      <c r="G37" s="28"/>
      <c r="H37" s="28"/>
      <c r="I37" s="28"/>
      <c r="J37" s="33" t="s">
        <v>91</v>
      </c>
      <c r="K37" s="6" t="s">
        <v>90</v>
      </c>
      <c r="L37" s="28" t="s">
        <v>20</v>
      </c>
      <c r="M37" s="28" t="s">
        <v>20</v>
      </c>
      <c r="N37" s="28" t="s">
        <v>25</v>
      </c>
      <c r="O37" s="28" t="s">
        <v>20</v>
      </c>
      <c r="P37" s="28" t="s">
        <v>25</v>
      </c>
      <c r="Q37" s="28" t="s">
        <v>26</v>
      </c>
      <c r="R37" s="28" t="s">
        <v>20</v>
      </c>
      <c r="S37" s="28" t="s">
        <v>25</v>
      </c>
      <c r="U37" s="110"/>
      <c r="V37" s="13" t="s">
        <v>34</v>
      </c>
      <c r="W37" s="16">
        <f>+COUNTIF(Q5:Q65,"Ninguna")</f>
        <v>1</v>
      </c>
      <c r="X37" s="47"/>
      <c r="Y37" s="60"/>
      <c r="Z37" s="62"/>
      <c r="AA37" s="63"/>
      <c r="AB37" s="60"/>
      <c r="AC37" s="64"/>
      <c r="AD37" s="60"/>
      <c r="AE37" s="60"/>
      <c r="AG37" s="60"/>
      <c r="AH37" s="60"/>
      <c r="AI37" s="60"/>
      <c r="AJ37" s="60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</row>
    <row r="38" spans="1:50" x14ac:dyDescent="0.25">
      <c r="A38" s="3">
        <v>34</v>
      </c>
      <c r="B38" s="29">
        <v>42929</v>
      </c>
      <c r="C38" s="28" t="s">
        <v>23</v>
      </c>
      <c r="D38" s="28"/>
      <c r="E38" s="28"/>
      <c r="F38" s="28"/>
      <c r="G38" s="28"/>
      <c r="H38" s="28"/>
      <c r="I38" s="28">
        <v>1</v>
      </c>
      <c r="J38" s="33" t="s">
        <v>91</v>
      </c>
      <c r="K38" s="6" t="s">
        <v>90</v>
      </c>
      <c r="L38" s="28" t="s">
        <v>20</v>
      </c>
      <c r="M38" s="28" t="s">
        <v>20</v>
      </c>
      <c r="N38" s="28" t="s">
        <v>25</v>
      </c>
      <c r="O38" s="28" t="s">
        <v>25</v>
      </c>
      <c r="P38" s="28" t="s">
        <v>20</v>
      </c>
      <c r="Q38" s="28" t="s">
        <v>26</v>
      </c>
      <c r="R38" s="28" t="s">
        <v>20</v>
      </c>
      <c r="S38" s="28" t="s">
        <v>20</v>
      </c>
      <c r="U38" s="137" t="s">
        <v>42</v>
      </c>
      <c r="V38" s="12" t="s">
        <v>20</v>
      </c>
      <c r="W38" s="14">
        <f>+COUNTIF(R5:R65,"Si")</f>
        <v>21</v>
      </c>
      <c r="X38" s="125" t="s">
        <v>118</v>
      </c>
      <c r="Y38" s="48" t="s">
        <v>114</v>
      </c>
      <c r="Z38" s="49">
        <f>COUNTIFS($C$5:$C$65,"M",$R$5:$R$65,"Si")</f>
        <v>10</v>
      </c>
      <c r="AA38" s="125" t="s">
        <v>117</v>
      </c>
      <c r="AB38" s="48" t="s">
        <v>114</v>
      </c>
      <c r="AC38" s="55">
        <f>COUNTIFS($C$5:$C$65,"M",$R$5:$R$65,"No")</f>
        <v>9</v>
      </c>
      <c r="AD38" s="125" t="s">
        <v>118</v>
      </c>
      <c r="AE38" s="48" t="s">
        <v>4</v>
      </c>
      <c r="AF38" s="48">
        <f>COUNTIFS($D$5:$D$65,"1",$R$5:$R$65,"Si")</f>
        <v>3</v>
      </c>
      <c r="AG38" s="48" t="s">
        <v>7</v>
      </c>
      <c r="AH38" s="48">
        <f>COUNTIFS($G$5:$G$65,"1",$R$5:$R$65,"Si")</f>
        <v>2</v>
      </c>
      <c r="AI38" s="48" t="s">
        <v>29</v>
      </c>
      <c r="AJ38" s="49">
        <f>COUNTIFS($I$5:$I$65,"Blanco",$R$5:$R$65,"Si")</f>
        <v>2</v>
      </c>
      <c r="AK38" s="50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x14ac:dyDescent="0.25">
      <c r="A39" s="3">
        <v>35</v>
      </c>
      <c r="B39" s="29">
        <v>42929</v>
      </c>
      <c r="C39" s="28" t="s">
        <v>30</v>
      </c>
      <c r="D39" s="28"/>
      <c r="E39" s="28"/>
      <c r="F39" s="28"/>
      <c r="G39" s="28"/>
      <c r="H39" s="28"/>
      <c r="I39" s="28">
        <v>1</v>
      </c>
      <c r="J39" s="33" t="s">
        <v>91</v>
      </c>
      <c r="K39" s="6" t="s">
        <v>90</v>
      </c>
      <c r="L39" s="28" t="s">
        <v>20</v>
      </c>
      <c r="M39" s="28" t="s">
        <v>25</v>
      </c>
      <c r="N39" s="28" t="s">
        <v>25</v>
      </c>
      <c r="O39" s="28" t="s">
        <v>20</v>
      </c>
      <c r="P39" s="28" t="s">
        <v>25</v>
      </c>
      <c r="Q39" s="28" t="s">
        <v>27</v>
      </c>
      <c r="R39" s="28" t="s">
        <v>20</v>
      </c>
      <c r="S39" s="28" t="s">
        <v>20</v>
      </c>
      <c r="U39" s="109"/>
      <c r="V39" s="9" t="s">
        <v>25</v>
      </c>
      <c r="W39" s="15">
        <f>+COUNTIF(R5:R65,"No")</f>
        <v>14</v>
      </c>
      <c r="X39" s="126"/>
      <c r="Y39" s="6" t="s">
        <v>115</v>
      </c>
      <c r="Z39" s="51">
        <f>COUNTIFS($C$5:$C$65,"F",$R$5:$R$65,"Si")</f>
        <v>10</v>
      </c>
      <c r="AA39" s="126"/>
      <c r="AB39" s="6" t="s">
        <v>115</v>
      </c>
      <c r="AC39" s="57">
        <f>COUNTIFS($C$5:$C$65,"F",$R$5:$R$65,"No")</f>
        <v>5</v>
      </c>
      <c r="AD39" s="126"/>
      <c r="AE39" s="6" t="s">
        <v>5</v>
      </c>
      <c r="AF39" s="6">
        <f>COUNTIFS($E$5:$E$65,"1",$R$5:$R$65,"Si")</f>
        <v>3</v>
      </c>
      <c r="AG39" s="39" t="s">
        <v>8</v>
      </c>
      <c r="AH39" s="6">
        <f>COUNTIFS($H$5:$H$65,"1",$R$5:$R$65,"Si")</f>
        <v>4</v>
      </c>
      <c r="AI39" s="6"/>
      <c r="AJ39" s="51"/>
      <c r="AK39" s="50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5.75" thickBot="1" x14ac:dyDescent="0.3">
      <c r="A40" s="3">
        <v>36</v>
      </c>
      <c r="B40" s="29"/>
      <c r="C40" s="31"/>
      <c r="D40" s="28"/>
      <c r="E40" s="28"/>
      <c r="F40" s="28"/>
      <c r="G40" s="28"/>
      <c r="H40" s="28"/>
      <c r="I40" s="28"/>
      <c r="J40" s="33"/>
      <c r="K40" s="28"/>
      <c r="L40" s="31"/>
      <c r="M40" s="31"/>
      <c r="N40" s="31"/>
      <c r="O40" s="31"/>
      <c r="P40" s="31"/>
      <c r="Q40" s="31"/>
      <c r="R40" s="31"/>
      <c r="S40" s="31"/>
      <c r="U40" s="110"/>
      <c r="V40" s="13" t="s">
        <v>29</v>
      </c>
      <c r="W40" s="16">
        <f>+COUNTIF(R5:R65,"Blanco")</f>
        <v>0</v>
      </c>
      <c r="X40" s="127"/>
      <c r="Y40" s="26" t="s">
        <v>29</v>
      </c>
      <c r="Z40" s="52">
        <f>COUNTIFS($C$5:$C$65,"Blanco",$R$5:$R$65,"Si")</f>
        <v>1</v>
      </c>
      <c r="AA40" s="127"/>
      <c r="AB40" s="26" t="s">
        <v>29</v>
      </c>
      <c r="AC40" s="58">
        <f>COUNTIFS($C$5:$C$65,"Blanco",$R$5:$R$65,"No")</f>
        <v>0</v>
      </c>
      <c r="AD40" s="127"/>
      <c r="AE40" s="26" t="s">
        <v>6</v>
      </c>
      <c r="AF40" s="26">
        <f>COUNTIFS($F$5:$F$65,"1",$R$5:$R$65,"Si")</f>
        <v>3</v>
      </c>
      <c r="AG40" s="26" t="s">
        <v>9</v>
      </c>
      <c r="AH40" s="26">
        <f>COUNTIFS($I$5:$I$65,"1",$R$5:$R$65,"Si")</f>
        <v>4</v>
      </c>
      <c r="AI40" s="26"/>
      <c r="AJ40" s="52"/>
      <c r="AK40" s="50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x14ac:dyDescent="0.25">
      <c r="A41" s="3">
        <v>37</v>
      </c>
      <c r="B41" s="29"/>
      <c r="C41" s="31"/>
      <c r="D41" s="28"/>
      <c r="E41" s="28"/>
      <c r="F41" s="28"/>
      <c r="G41" s="28"/>
      <c r="H41" s="28"/>
      <c r="I41" s="28"/>
      <c r="J41" s="33"/>
      <c r="K41" s="28"/>
      <c r="L41" s="31"/>
      <c r="M41" s="31"/>
      <c r="N41" s="31"/>
      <c r="O41" s="31"/>
      <c r="P41" s="31"/>
      <c r="Q41" s="31"/>
      <c r="R41" s="31"/>
      <c r="S41" s="31"/>
      <c r="U41" s="137" t="s">
        <v>43</v>
      </c>
      <c r="V41" s="12" t="s">
        <v>20</v>
      </c>
      <c r="W41" s="14">
        <f>+COUNTIF(S5:S65,"Si")</f>
        <v>20</v>
      </c>
      <c r="X41" s="125" t="s">
        <v>118</v>
      </c>
      <c r="Y41" s="48" t="s">
        <v>114</v>
      </c>
      <c r="Z41" s="49">
        <f>COUNTIFS($C$5:$C$65,"M",$S$5:$S$65,"Si")</f>
        <v>11</v>
      </c>
      <c r="AA41" s="125" t="s">
        <v>117</v>
      </c>
      <c r="AB41" s="48" t="s">
        <v>114</v>
      </c>
      <c r="AC41" s="55">
        <f>COUNTIFS($C$5:$C$65,"M",$S$5:$S$65,"No")</f>
        <v>8</v>
      </c>
      <c r="AD41" s="125" t="s">
        <v>118</v>
      </c>
      <c r="AE41" s="48" t="s">
        <v>4</v>
      </c>
      <c r="AF41" s="48">
        <f>COUNTIFS($D$5:$D$65,"1",$S$5:$S$65,"Si")</f>
        <v>2</v>
      </c>
      <c r="AG41" s="48" t="s">
        <v>7</v>
      </c>
      <c r="AH41" s="48">
        <f>COUNTIFS($G$5:$G$65,"1",$S$5:$S$65,"Si")</f>
        <v>1</v>
      </c>
      <c r="AI41" s="48" t="s">
        <v>29</v>
      </c>
      <c r="AJ41" s="49">
        <f>COUNTIFS($I$5:$I$65,"Blanco",$S$5:$S$65,"Si")</f>
        <v>1</v>
      </c>
      <c r="AK41" s="50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x14ac:dyDescent="0.25">
      <c r="A42" s="3">
        <v>38</v>
      </c>
      <c r="B42" s="29"/>
      <c r="C42" s="28"/>
      <c r="D42" s="28"/>
      <c r="E42" s="28"/>
      <c r="F42" s="28"/>
      <c r="G42" s="28"/>
      <c r="H42" s="28"/>
      <c r="I42" s="28"/>
      <c r="J42" s="33"/>
      <c r="K42" s="28"/>
      <c r="L42" s="28"/>
      <c r="M42" s="28"/>
      <c r="N42" s="28"/>
      <c r="O42" s="28"/>
      <c r="P42" s="28"/>
      <c r="Q42" s="28"/>
      <c r="R42" s="28"/>
      <c r="S42" s="28"/>
      <c r="U42" s="109"/>
      <c r="V42" s="9" t="s">
        <v>25</v>
      </c>
      <c r="W42" s="15">
        <f>+COUNTIF(S5:S65,"No")</f>
        <v>15</v>
      </c>
      <c r="X42" s="126"/>
      <c r="Y42" s="6" t="s">
        <v>115</v>
      </c>
      <c r="Z42" s="51">
        <f>COUNTIFS($C$5:$C$65,"F",$S$5:$S$65,"Si")</f>
        <v>8</v>
      </c>
      <c r="AA42" s="126"/>
      <c r="AB42" s="6" t="s">
        <v>115</v>
      </c>
      <c r="AC42" s="57">
        <f>COUNTIFS($C$5:$C$65,"F",$S$5:$S$65,"No")</f>
        <v>7</v>
      </c>
      <c r="AD42" s="126"/>
      <c r="AE42" s="6" t="s">
        <v>5</v>
      </c>
      <c r="AF42" s="6">
        <f>COUNTIFS($E$5:$E$65,"1",$S$6:$S$66,"Si")</f>
        <v>3</v>
      </c>
      <c r="AG42" s="39" t="s">
        <v>8</v>
      </c>
      <c r="AH42" s="6">
        <f>COUNTIFS($H$5:$H$65,"1",$S$5:$S$65,"Si")</f>
        <v>6</v>
      </c>
      <c r="AI42" s="6"/>
      <c r="AJ42" s="51"/>
      <c r="AK42" s="50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5.75" thickBot="1" x14ac:dyDescent="0.3">
      <c r="A43" s="3">
        <v>39</v>
      </c>
      <c r="B43" s="29"/>
      <c r="C43" s="28"/>
      <c r="D43" s="28"/>
      <c r="E43" s="28"/>
      <c r="F43" s="28"/>
      <c r="G43" s="28"/>
      <c r="H43" s="28"/>
      <c r="I43" s="28"/>
      <c r="J43" s="33"/>
      <c r="K43" s="28"/>
      <c r="L43" s="28"/>
      <c r="M43" s="28"/>
      <c r="N43" s="28"/>
      <c r="O43" s="28"/>
      <c r="P43" s="28"/>
      <c r="Q43" s="28"/>
      <c r="R43" s="28"/>
      <c r="S43" s="28"/>
      <c r="U43" s="110"/>
      <c r="V43" s="13" t="s">
        <v>29</v>
      </c>
      <c r="W43" s="16">
        <f>+COUNTIF(S5:S65,"Blanco")</f>
        <v>0</v>
      </c>
      <c r="X43" s="127"/>
      <c r="Y43" s="26" t="s">
        <v>29</v>
      </c>
      <c r="Z43" s="52">
        <f>COUNTIFS($C$5:$C$65,"Blanco",$S$5:$S$65,"Si")</f>
        <v>1</v>
      </c>
      <c r="AA43" s="127"/>
      <c r="AB43" s="26" t="s">
        <v>29</v>
      </c>
      <c r="AC43" s="58">
        <f>COUNTIFS($C$5:$C$65,"Blanco",$S$5:$S$65,"No")</f>
        <v>0</v>
      </c>
      <c r="AD43" s="127"/>
      <c r="AE43" s="26" t="s">
        <v>6</v>
      </c>
      <c r="AF43" s="26">
        <f>COUNTIFS($F$5:$F$65,"1",$S$5:$S$65,"Si")</f>
        <v>2</v>
      </c>
      <c r="AG43" s="26" t="s">
        <v>9</v>
      </c>
      <c r="AH43" s="26">
        <f>COUNTIFS($I$5:$I$65,"1",$S$5:$S$65,"Si")</f>
        <v>6</v>
      </c>
      <c r="AI43" s="26"/>
      <c r="AJ43" s="52"/>
      <c r="AK43" s="50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x14ac:dyDescent="0.25">
      <c r="A44" s="3">
        <v>40</v>
      </c>
      <c r="B44" s="29"/>
      <c r="C44" s="28"/>
      <c r="D44" s="28"/>
      <c r="E44" s="28"/>
      <c r="F44" s="28"/>
      <c r="G44" s="28"/>
      <c r="H44" s="28"/>
      <c r="I44" s="28"/>
      <c r="J44" s="33"/>
      <c r="K44" s="28"/>
      <c r="L44" s="28"/>
      <c r="M44" s="28"/>
      <c r="N44" s="28"/>
      <c r="O44" s="28"/>
      <c r="P44" s="28"/>
      <c r="Q44" s="28"/>
      <c r="R44" s="28"/>
      <c r="S44" s="28"/>
    </row>
    <row r="45" spans="1:50" x14ac:dyDescent="0.25">
      <c r="A45" s="3">
        <v>41</v>
      </c>
      <c r="B45" s="29"/>
      <c r="C45" s="28"/>
      <c r="D45" s="28"/>
      <c r="E45" s="28"/>
      <c r="F45" s="28"/>
      <c r="G45" s="28"/>
      <c r="H45" s="28"/>
      <c r="I45" s="28"/>
      <c r="J45" s="33"/>
      <c r="K45" s="28"/>
      <c r="L45" s="28"/>
      <c r="M45" s="28"/>
      <c r="N45" s="28"/>
      <c r="O45" s="28"/>
      <c r="P45" s="28"/>
      <c r="Q45" s="28"/>
      <c r="R45" s="28"/>
      <c r="S45" s="28"/>
    </row>
    <row r="46" spans="1:50" x14ac:dyDescent="0.25">
      <c r="A46" s="3">
        <v>42</v>
      </c>
      <c r="B46" s="29"/>
      <c r="C46" s="28"/>
      <c r="D46" s="28"/>
      <c r="E46" s="28"/>
      <c r="F46" s="28"/>
      <c r="G46" s="28"/>
      <c r="H46" s="28"/>
      <c r="I46" s="28"/>
      <c r="J46" s="33"/>
      <c r="K46" s="28"/>
      <c r="L46" s="28"/>
      <c r="M46" s="28"/>
      <c r="N46" s="28"/>
      <c r="O46" s="28"/>
      <c r="P46" s="28"/>
      <c r="Q46" s="28"/>
      <c r="R46" s="28"/>
      <c r="S46" s="28"/>
    </row>
    <row r="47" spans="1:50" x14ac:dyDescent="0.25">
      <c r="A47" s="3">
        <v>43</v>
      </c>
      <c r="B47" s="29"/>
      <c r="C47" s="28"/>
      <c r="D47" s="28"/>
      <c r="E47" s="28"/>
      <c r="F47" s="28"/>
      <c r="G47" s="28"/>
      <c r="H47" s="28"/>
      <c r="I47" s="28"/>
      <c r="J47" s="33"/>
      <c r="K47" s="28"/>
      <c r="L47" s="28"/>
      <c r="M47" s="28"/>
      <c r="N47" s="28"/>
      <c r="O47" s="28"/>
      <c r="P47" s="28"/>
      <c r="Q47" s="28"/>
      <c r="R47" s="28"/>
      <c r="S47" s="28"/>
    </row>
    <row r="48" spans="1:50" x14ac:dyDescent="0.25">
      <c r="A48" s="3">
        <v>44</v>
      </c>
      <c r="B48" s="29"/>
      <c r="C48" s="28"/>
      <c r="D48" s="28"/>
      <c r="E48" s="28"/>
      <c r="F48" s="28"/>
      <c r="G48" s="28"/>
      <c r="H48" s="28"/>
      <c r="I48" s="28"/>
      <c r="J48" s="33"/>
      <c r="K48" s="28"/>
      <c r="L48" s="28"/>
      <c r="M48" s="28"/>
      <c r="N48" s="28"/>
      <c r="O48" s="28"/>
      <c r="P48" s="28"/>
      <c r="Q48" s="28"/>
      <c r="R48" s="28"/>
      <c r="S48" s="28"/>
    </row>
    <row r="49" spans="1:19" x14ac:dyDescent="0.25">
      <c r="A49" s="3">
        <v>45</v>
      </c>
      <c r="B49" s="29"/>
      <c r="C49" s="28"/>
      <c r="D49" s="28"/>
      <c r="E49" s="28"/>
      <c r="F49" s="28"/>
      <c r="G49" s="28"/>
      <c r="H49" s="28"/>
      <c r="I49" s="28"/>
      <c r="J49" s="33"/>
      <c r="K49" s="28"/>
      <c r="L49" s="28"/>
      <c r="M49" s="28"/>
      <c r="N49" s="28"/>
      <c r="O49" s="28"/>
      <c r="P49" s="28"/>
      <c r="Q49" s="28"/>
      <c r="R49" s="28"/>
      <c r="S49" s="28"/>
    </row>
    <row r="50" spans="1:19" x14ac:dyDescent="0.25">
      <c r="A50" s="3">
        <v>46</v>
      </c>
      <c r="B50" s="29"/>
      <c r="C50" s="28"/>
      <c r="D50" s="28"/>
      <c r="E50" s="28"/>
      <c r="F50" s="28"/>
      <c r="G50" s="28"/>
      <c r="H50" s="28"/>
      <c r="I50" s="28"/>
      <c r="J50" s="33"/>
      <c r="K50" s="28"/>
      <c r="L50" s="28"/>
      <c r="M50" s="28"/>
      <c r="N50" s="28"/>
      <c r="O50" s="28"/>
      <c r="P50" s="28"/>
      <c r="Q50" s="28"/>
      <c r="R50" s="28"/>
      <c r="S50" s="28"/>
    </row>
    <row r="51" spans="1:19" x14ac:dyDescent="0.25">
      <c r="A51" s="3">
        <v>47</v>
      </c>
      <c r="B51" s="29"/>
      <c r="C51" s="28"/>
      <c r="D51" s="28"/>
      <c r="E51" s="28"/>
      <c r="F51" s="28"/>
      <c r="G51" s="28"/>
      <c r="H51" s="28"/>
      <c r="I51" s="28"/>
      <c r="J51" s="33"/>
      <c r="K51" s="28"/>
      <c r="L51" s="28"/>
      <c r="M51" s="28"/>
      <c r="N51" s="28"/>
      <c r="O51" s="28"/>
      <c r="P51" s="28"/>
      <c r="Q51" s="28"/>
      <c r="R51" s="28"/>
      <c r="S51" s="28"/>
    </row>
    <row r="52" spans="1:19" x14ac:dyDescent="0.25">
      <c r="A52" s="3">
        <v>48</v>
      </c>
      <c r="B52" s="29"/>
      <c r="C52" s="28"/>
      <c r="D52" s="28"/>
      <c r="E52" s="28"/>
      <c r="F52" s="28"/>
      <c r="G52" s="28"/>
      <c r="H52" s="28"/>
      <c r="I52" s="28"/>
      <c r="J52" s="33"/>
      <c r="K52" s="28"/>
      <c r="L52" s="28"/>
      <c r="M52" s="28"/>
      <c r="N52" s="28"/>
      <c r="O52" s="28"/>
      <c r="P52" s="28"/>
      <c r="Q52" s="28"/>
      <c r="R52" s="28"/>
      <c r="S52" s="28"/>
    </row>
    <row r="53" spans="1:19" x14ac:dyDescent="0.25">
      <c r="A53" s="3">
        <v>49</v>
      </c>
      <c r="B53" s="29"/>
      <c r="C53" s="28"/>
      <c r="D53" s="28"/>
      <c r="E53" s="28"/>
      <c r="F53" s="28"/>
      <c r="G53" s="28"/>
      <c r="H53" s="28"/>
      <c r="I53" s="28"/>
      <c r="J53" s="33"/>
      <c r="K53" s="28"/>
      <c r="L53" s="28"/>
      <c r="M53" s="28"/>
      <c r="N53" s="28"/>
      <c r="O53" s="28"/>
      <c r="P53" s="28"/>
      <c r="Q53" s="28"/>
      <c r="R53" s="28"/>
      <c r="S53" s="28"/>
    </row>
    <row r="54" spans="1:19" x14ac:dyDescent="0.25">
      <c r="A54" s="3">
        <v>50</v>
      </c>
      <c r="B54" s="29"/>
      <c r="C54" s="28"/>
      <c r="D54" s="28"/>
      <c r="E54" s="28"/>
      <c r="F54" s="28"/>
      <c r="G54" s="28"/>
      <c r="H54" s="28"/>
      <c r="I54" s="28"/>
      <c r="J54" s="33"/>
      <c r="K54" s="28"/>
      <c r="L54" s="28"/>
      <c r="M54" s="28"/>
      <c r="N54" s="28"/>
      <c r="O54" s="28"/>
      <c r="P54" s="28"/>
      <c r="Q54" s="28"/>
      <c r="R54" s="28"/>
      <c r="S54" s="28"/>
    </row>
    <row r="55" spans="1:19" x14ac:dyDescent="0.25">
      <c r="A55" s="3">
        <v>51</v>
      </c>
      <c r="B55" s="29"/>
      <c r="C55" s="28"/>
      <c r="D55" s="28"/>
      <c r="E55" s="28"/>
      <c r="F55" s="28"/>
      <c r="G55" s="28"/>
      <c r="H55" s="28"/>
      <c r="I55" s="28"/>
      <c r="J55" s="33"/>
      <c r="K55" s="28"/>
      <c r="L55" s="28"/>
      <c r="M55" s="28"/>
      <c r="N55" s="28"/>
      <c r="O55" s="28"/>
      <c r="P55" s="28"/>
      <c r="Q55" s="28"/>
      <c r="R55" s="28"/>
      <c r="S55" s="28"/>
    </row>
    <row r="56" spans="1:19" x14ac:dyDescent="0.25">
      <c r="A56" s="3">
        <v>52</v>
      </c>
      <c r="B56" s="29"/>
      <c r="C56" s="28"/>
      <c r="D56" s="28"/>
      <c r="E56" s="28"/>
      <c r="F56" s="28"/>
      <c r="G56" s="28"/>
      <c r="H56" s="28"/>
      <c r="I56" s="28"/>
      <c r="J56" s="33"/>
      <c r="K56" s="28"/>
      <c r="L56" s="28"/>
      <c r="M56" s="28"/>
      <c r="N56" s="28"/>
      <c r="O56" s="28"/>
      <c r="P56" s="28"/>
      <c r="Q56" s="28"/>
      <c r="R56" s="28"/>
      <c r="S56" s="28"/>
    </row>
    <row r="57" spans="1:19" x14ac:dyDescent="0.25">
      <c r="A57" s="3">
        <v>53</v>
      </c>
      <c r="B57" s="29"/>
      <c r="C57" s="28"/>
      <c r="D57" s="28"/>
      <c r="E57" s="28"/>
      <c r="F57" s="28"/>
      <c r="G57" s="28"/>
      <c r="H57" s="28"/>
      <c r="I57" s="28"/>
      <c r="J57" s="33"/>
      <c r="K57" s="28"/>
      <c r="L57" s="28"/>
      <c r="M57" s="28"/>
      <c r="N57" s="28"/>
      <c r="O57" s="28"/>
      <c r="P57" s="28"/>
      <c r="Q57" s="28"/>
      <c r="R57" s="28"/>
      <c r="S57" s="28"/>
    </row>
    <row r="58" spans="1:19" x14ac:dyDescent="0.25">
      <c r="A58" s="3">
        <v>54</v>
      </c>
      <c r="B58" s="29"/>
      <c r="C58" s="28"/>
      <c r="D58" s="28"/>
      <c r="E58" s="28"/>
      <c r="F58" s="28"/>
      <c r="G58" s="28"/>
      <c r="H58" s="28"/>
      <c r="I58" s="28"/>
      <c r="J58" s="33"/>
      <c r="K58" s="28"/>
      <c r="L58" s="28"/>
      <c r="M58" s="28"/>
      <c r="N58" s="28"/>
      <c r="O58" s="28"/>
      <c r="P58" s="28"/>
      <c r="Q58" s="28"/>
      <c r="R58" s="28"/>
      <c r="S58" s="28"/>
    </row>
    <row r="59" spans="1:19" x14ac:dyDescent="0.25">
      <c r="A59" s="3">
        <v>55</v>
      </c>
      <c r="B59" s="29"/>
      <c r="C59" s="28"/>
      <c r="D59" s="28"/>
      <c r="E59" s="28"/>
      <c r="F59" s="28"/>
      <c r="G59" s="28"/>
      <c r="H59" s="28"/>
      <c r="I59" s="28"/>
      <c r="J59" s="33"/>
      <c r="K59" s="28"/>
      <c r="L59" s="28"/>
      <c r="M59" s="28"/>
      <c r="N59" s="28"/>
      <c r="O59" s="28"/>
      <c r="P59" s="28"/>
      <c r="Q59" s="28"/>
      <c r="R59" s="28"/>
      <c r="S59" s="28"/>
    </row>
    <row r="60" spans="1:19" x14ac:dyDescent="0.25">
      <c r="A60" s="3">
        <v>56</v>
      </c>
      <c r="B60" s="29"/>
      <c r="C60" s="28"/>
      <c r="D60" s="28"/>
      <c r="E60" s="28"/>
      <c r="F60" s="28"/>
      <c r="G60" s="28"/>
      <c r="H60" s="28"/>
      <c r="I60" s="28"/>
      <c r="J60" s="33"/>
      <c r="K60" s="28"/>
      <c r="L60" s="28"/>
      <c r="M60" s="28"/>
      <c r="N60" s="28"/>
      <c r="O60" s="28"/>
      <c r="P60" s="28"/>
      <c r="Q60" s="28"/>
      <c r="R60" s="28"/>
      <c r="S60" s="28"/>
    </row>
    <row r="61" spans="1:19" x14ac:dyDescent="0.25">
      <c r="A61" s="3">
        <v>57</v>
      </c>
      <c r="B61" s="29"/>
      <c r="C61" s="28"/>
      <c r="D61" s="28"/>
      <c r="E61" s="28"/>
      <c r="F61" s="28"/>
      <c r="G61" s="28"/>
      <c r="H61" s="28"/>
      <c r="I61" s="28"/>
      <c r="J61" s="33"/>
      <c r="K61" s="28"/>
      <c r="L61" s="28"/>
      <c r="M61" s="28"/>
      <c r="N61" s="28"/>
      <c r="O61" s="28"/>
      <c r="P61" s="28"/>
      <c r="Q61" s="28"/>
      <c r="R61" s="28"/>
      <c r="S61" s="28"/>
    </row>
    <row r="62" spans="1:19" x14ac:dyDescent="0.25">
      <c r="A62" s="3">
        <v>58</v>
      </c>
      <c r="B62" s="29"/>
      <c r="C62" s="28"/>
      <c r="D62" s="28"/>
      <c r="E62" s="28"/>
      <c r="F62" s="28"/>
      <c r="G62" s="28"/>
      <c r="H62" s="28"/>
      <c r="I62" s="28"/>
      <c r="J62" s="33"/>
      <c r="K62" s="28"/>
      <c r="L62" s="28"/>
      <c r="M62" s="28"/>
      <c r="N62" s="28"/>
      <c r="O62" s="28"/>
      <c r="P62" s="28"/>
      <c r="Q62" s="28"/>
      <c r="R62" s="28"/>
      <c r="S62" s="28"/>
    </row>
    <row r="63" spans="1:19" x14ac:dyDescent="0.25">
      <c r="A63" s="3">
        <v>59</v>
      </c>
      <c r="B63" s="29"/>
      <c r="C63" s="28"/>
      <c r="D63" s="28"/>
      <c r="E63" s="28"/>
      <c r="F63" s="28"/>
      <c r="G63" s="28"/>
      <c r="H63" s="28"/>
      <c r="I63" s="28"/>
      <c r="J63" s="33"/>
      <c r="K63" s="28"/>
      <c r="L63" s="28"/>
      <c r="M63" s="28"/>
      <c r="N63" s="28"/>
      <c r="O63" s="28"/>
      <c r="P63" s="28"/>
      <c r="Q63" s="28"/>
      <c r="R63" s="28"/>
      <c r="S63" s="28"/>
    </row>
    <row r="64" spans="1:19" x14ac:dyDescent="0.25">
      <c r="A64" s="3">
        <v>60</v>
      </c>
      <c r="B64" s="29"/>
      <c r="C64" s="28"/>
      <c r="D64" s="28"/>
      <c r="E64" s="28"/>
      <c r="F64" s="28"/>
      <c r="G64" s="28"/>
      <c r="H64" s="28"/>
      <c r="I64" s="28"/>
      <c r="J64" s="33"/>
      <c r="K64" s="28"/>
      <c r="L64" s="28"/>
      <c r="M64" s="28"/>
      <c r="N64" s="28"/>
      <c r="O64" s="28"/>
      <c r="P64" s="28"/>
      <c r="Q64" s="28"/>
      <c r="R64" s="28"/>
      <c r="S64" s="28"/>
    </row>
    <row r="65" spans="1:19" x14ac:dyDescent="0.25">
      <c r="A65" s="3">
        <v>61</v>
      </c>
      <c r="B65" s="29"/>
      <c r="C65" s="28"/>
      <c r="D65" s="28"/>
      <c r="E65" s="28"/>
      <c r="F65" s="28"/>
      <c r="G65" s="28"/>
      <c r="H65" s="28"/>
      <c r="I65" s="28"/>
      <c r="J65" s="33"/>
      <c r="K65" s="28"/>
      <c r="L65" s="28"/>
      <c r="M65" s="28"/>
      <c r="N65" s="28"/>
      <c r="O65" s="28"/>
      <c r="P65" s="28"/>
      <c r="Q65" s="28"/>
      <c r="R65" s="28"/>
      <c r="S65" s="28"/>
    </row>
  </sheetData>
  <mergeCells count="58">
    <mergeCell ref="X41:X43"/>
    <mergeCell ref="AA41:AA43"/>
    <mergeCell ref="AD41:AD43"/>
    <mergeCell ref="AG34:AG36"/>
    <mergeCell ref="AK34:AK36"/>
    <mergeCell ref="AR34:AR36"/>
    <mergeCell ref="X38:X40"/>
    <mergeCell ref="AA38:AA40"/>
    <mergeCell ref="AD38:AD40"/>
    <mergeCell ref="X31:X33"/>
    <mergeCell ref="AA31:AA33"/>
    <mergeCell ref="AD31:AD33"/>
    <mergeCell ref="X34:X36"/>
    <mergeCell ref="AA34:AA36"/>
    <mergeCell ref="AD34:AD36"/>
    <mergeCell ref="X25:X27"/>
    <mergeCell ref="AA25:AA27"/>
    <mergeCell ref="AD25:AD27"/>
    <mergeCell ref="X28:X30"/>
    <mergeCell ref="AA28:AA30"/>
    <mergeCell ref="AD28:AD30"/>
    <mergeCell ref="X19:X21"/>
    <mergeCell ref="AA19:AA21"/>
    <mergeCell ref="AD19:AD21"/>
    <mergeCell ref="X22:X24"/>
    <mergeCell ref="AA22:AA24"/>
    <mergeCell ref="AD22:AD24"/>
    <mergeCell ref="A1:S1"/>
    <mergeCell ref="U1:W1"/>
    <mergeCell ref="A2:S2"/>
    <mergeCell ref="U2:V2"/>
    <mergeCell ref="A3:A4"/>
    <mergeCell ref="B3:B4"/>
    <mergeCell ref="C3:C4"/>
    <mergeCell ref="D3:I3"/>
    <mergeCell ref="J3:J4"/>
    <mergeCell ref="K3:K4"/>
    <mergeCell ref="U6:U12"/>
    <mergeCell ref="L3:L4"/>
    <mergeCell ref="M3:M4"/>
    <mergeCell ref="N3:N4"/>
    <mergeCell ref="O3:O4"/>
    <mergeCell ref="P3:P4"/>
    <mergeCell ref="Q3:Q4"/>
    <mergeCell ref="R3:R4"/>
    <mergeCell ref="S3:S4"/>
    <mergeCell ref="U3:V3"/>
    <mergeCell ref="U4:V4"/>
    <mergeCell ref="U5:V5"/>
    <mergeCell ref="U34:U37"/>
    <mergeCell ref="U38:U40"/>
    <mergeCell ref="U41:U43"/>
    <mergeCell ref="U13:U18"/>
    <mergeCell ref="U19:U21"/>
    <mergeCell ref="U22:U24"/>
    <mergeCell ref="U25:U27"/>
    <mergeCell ref="U28:U30"/>
    <mergeCell ref="U31:U33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41"/>
  <sheetViews>
    <sheetView topLeftCell="V1" zoomScale="50" zoomScaleNormal="50" workbookViewId="0">
      <selection activeCell="AT31" sqref="AT31:AX33"/>
    </sheetView>
  </sheetViews>
  <sheetFormatPr baseColWidth="10" defaultRowHeight="15" x14ac:dyDescent="0.25"/>
  <cols>
    <col min="1" max="1" width="4.140625" style="1" bestFit="1" customWidth="1"/>
    <col min="2" max="2" width="17.42578125" customWidth="1"/>
    <col min="4" max="4" width="9.7109375" bestFit="1" customWidth="1"/>
    <col min="5" max="5" width="10.140625" bestFit="1" customWidth="1"/>
    <col min="6" max="6" width="9.7109375" bestFit="1" customWidth="1"/>
    <col min="7" max="7" width="10.140625" bestFit="1" customWidth="1"/>
    <col min="8" max="8" width="9.7109375" bestFit="1" customWidth="1"/>
    <col min="9" max="9" width="14.140625" customWidth="1"/>
    <col min="10" max="10" width="20.140625" bestFit="1" customWidth="1"/>
    <col min="11" max="11" width="23.85546875" bestFit="1" customWidth="1"/>
    <col min="12" max="19" width="14.28515625" customWidth="1"/>
    <col min="21" max="21" width="48.42578125" style="7" customWidth="1"/>
    <col min="22" max="22" width="23.85546875" bestFit="1" customWidth="1"/>
    <col min="23" max="23" width="11.42578125" style="1"/>
  </cols>
  <sheetData>
    <row r="1" spans="1:50" ht="15.75" thickBot="1" x14ac:dyDescent="0.3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U1" s="144" t="s">
        <v>46</v>
      </c>
      <c r="V1" s="145"/>
      <c r="W1" s="148"/>
    </row>
    <row r="2" spans="1:50" ht="15.75" thickBot="1" x14ac:dyDescent="0.3">
      <c r="A2" s="123" t="s">
        <v>21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U2" s="144" t="s">
        <v>44</v>
      </c>
      <c r="V2" s="145"/>
      <c r="W2" s="17">
        <f>+COUNTIF(C5:C40,"M")</f>
        <v>18</v>
      </c>
    </row>
    <row r="3" spans="1:50" ht="15.75" customHeight="1" thickBot="1" x14ac:dyDescent="0.3">
      <c r="A3" s="149" t="s">
        <v>22</v>
      </c>
      <c r="B3" s="151" t="s">
        <v>2</v>
      </c>
      <c r="C3" s="149" t="s">
        <v>1</v>
      </c>
      <c r="D3" s="123" t="s">
        <v>3</v>
      </c>
      <c r="E3" s="123"/>
      <c r="F3" s="123"/>
      <c r="G3" s="123"/>
      <c r="H3" s="123"/>
      <c r="I3" s="123"/>
      <c r="J3" s="149" t="s">
        <v>11</v>
      </c>
      <c r="K3" s="149" t="s">
        <v>10</v>
      </c>
      <c r="L3" s="142" t="s">
        <v>12</v>
      </c>
      <c r="M3" s="142" t="s">
        <v>13</v>
      </c>
      <c r="N3" s="142" t="s">
        <v>14</v>
      </c>
      <c r="O3" s="142" t="s">
        <v>15</v>
      </c>
      <c r="P3" s="142" t="s">
        <v>16</v>
      </c>
      <c r="Q3" s="142" t="s">
        <v>17</v>
      </c>
      <c r="R3" s="142" t="s">
        <v>18</v>
      </c>
      <c r="S3" s="142" t="s">
        <v>19</v>
      </c>
      <c r="U3" s="144" t="s">
        <v>45</v>
      </c>
      <c r="V3" s="145"/>
      <c r="W3" s="17">
        <f>+COUNTIF(C5:C40,"F")</f>
        <v>16</v>
      </c>
    </row>
    <row r="4" spans="1:50" ht="15.75" customHeight="1" thickBot="1" x14ac:dyDescent="0.3">
      <c r="A4" s="150"/>
      <c r="B4" s="152"/>
      <c r="C4" s="150"/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150"/>
      <c r="K4" s="150"/>
      <c r="L4" s="143"/>
      <c r="M4" s="143"/>
      <c r="N4" s="143"/>
      <c r="O4" s="143"/>
      <c r="P4" s="143"/>
      <c r="Q4" s="143"/>
      <c r="R4" s="143"/>
      <c r="S4" s="143"/>
      <c r="U4" s="146" t="s">
        <v>29</v>
      </c>
      <c r="V4" s="147"/>
      <c r="W4" s="17">
        <f>+COUNTIF(C5:C40,"Blanco")</f>
        <v>1</v>
      </c>
    </row>
    <row r="5" spans="1:50" ht="15.75" thickBot="1" x14ac:dyDescent="0.3">
      <c r="A5" s="3">
        <v>1</v>
      </c>
      <c r="B5" s="29">
        <v>42934</v>
      </c>
      <c r="C5" s="28" t="s">
        <v>23</v>
      </c>
      <c r="D5" s="28"/>
      <c r="E5" s="28"/>
      <c r="F5" s="28">
        <v>1</v>
      </c>
      <c r="G5" s="28"/>
      <c r="H5" s="28"/>
      <c r="I5" s="28"/>
      <c r="J5" s="24" t="s">
        <v>59</v>
      </c>
      <c r="K5" s="24" t="s">
        <v>59</v>
      </c>
      <c r="L5" s="28" t="s">
        <v>25</v>
      </c>
      <c r="M5" s="28" t="s">
        <v>20</v>
      </c>
      <c r="N5" s="28" t="s">
        <v>25</v>
      </c>
      <c r="O5" s="28" t="s">
        <v>25</v>
      </c>
      <c r="P5" s="28" t="s">
        <v>25</v>
      </c>
      <c r="Q5" s="28" t="s">
        <v>27</v>
      </c>
      <c r="R5" s="28" t="s">
        <v>25</v>
      </c>
      <c r="S5" s="28" t="s">
        <v>20</v>
      </c>
      <c r="U5" s="146" t="s">
        <v>47</v>
      </c>
      <c r="V5" s="147"/>
      <c r="W5" s="18">
        <f>SUM(W2:W4)</f>
        <v>35</v>
      </c>
    </row>
    <row r="6" spans="1:50" x14ac:dyDescent="0.25">
      <c r="A6" s="3">
        <v>2</v>
      </c>
      <c r="B6" s="29">
        <v>42934</v>
      </c>
      <c r="C6" s="28" t="s">
        <v>23</v>
      </c>
      <c r="D6" s="28"/>
      <c r="E6" s="28"/>
      <c r="F6" s="28">
        <v>1</v>
      </c>
      <c r="G6" s="28"/>
      <c r="H6" s="28"/>
      <c r="I6" s="28"/>
      <c r="J6" s="24" t="s">
        <v>59</v>
      </c>
      <c r="K6" s="24" t="s">
        <v>59</v>
      </c>
      <c r="L6" s="28" t="s">
        <v>25</v>
      </c>
      <c r="M6" s="28" t="s">
        <v>25</v>
      </c>
      <c r="N6" s="28" t="s">
        <v>25</v>
      </c>
      <c r="O6" s="28" t="s">
        <v>25</v>
      </c>
      <c r="P6" s="28" t="s">
        <v>25</v>
      </c>
      <c r="Q6" s="28" t="s">
        <v>27</v>
      </c>
      <c r="R6" s="28" t="s">
        <v>25</v>
      </c>
      <c r="S6" s="28" t="s">
        <v>25</v>
      </c>
      <c r="U6" s="140" t="s">
        <v>3</v>
      </c>
      <c r="V6" s="11" t="s">
        <v>4</v>
      </c>
      <c r="W6" s="14">
        <f>+COUNTIF(D4:D40,"1")</f>
        <v>5</v>
      </c>
    </row>
    <row r="7" spans="1:50" x14ac:dyDescent="0.25">
      <c r="A7" s="3">
        <v>3</v>
      </c>
      <c r="B7" s="29">
        <v>42934</v>
      </c>
      <c r="C7" s="28" t="s">
        <v>23</v>
      </c>
      <c r="D7" s="28"/>
      <c r="E7" s="28"/>
      <c r="F7" s="28"/>
      <c r="G7" s="28"/>
      <c r="H7" s="28">
        <v>1</v>
      </c>
      <c r="I7" s="28"/>
      <c r="J7" s="24" t="s">
        <v>59</v>
      </c>
      <c r="K7" s="24" t="s">
        <v>59</v>
      </c>
      <c r="L7" s="28" t="s">
        <v>25</v>
      </c>
      <c r="M7" s="28" t="s">
        <v>25</v>
      </c>
      <c r="N7" s="28" t="s">
        <v>25</v>
      </c>
      <c r="O7" s="28" t="s">
        <v>25</v>
      </c>
      <c r="P7" s="28" t="s">
        <v>25</v>
      </c>
      <c r="Q7" s="28" t="s">
        <v>27</v>
      </c>
      <c r="R7" s="28" t="s">
        <v>25</v>
      </c>
      <c r="S7" s="28" t="s">
        <v>25</v>
      </c>
      <c r="U7" s="141"/>
      <c r="V7" s="8" t="s">
        <v>5</v>
      </c>
      <c r="W7" s="15">
        <f>+COUNTIF(E5:E40,"1")</f>
        <v>2</v>
      </c>
    </row>
    <row r="8" spans="1:50" x14ac:dyDescent="0.25">
      <c r="A8" s="3">
        <v>4</v>
      </c>
      <c r="B8" s="29">
        <v>42934</v>
      </c>
      <c r="C8" s="28" t="s">
        <v>23</v>
      </c>
      <c r="D8" s="28">
        <v>1</v>
      </c>
      <c r="E8" s="28"/>
      <c r="F8" s="28"/>
      <c r="G8" s="28"/>
      <c r="H8" s="28"/>
      <c r="I8" s="28"/>
      <c r="J8" s="24" t="s">
        <v>59</v>
      </c>
      <c r="K8" s="24" t="s">
        <v>59</v>
      </c>
      <c r="L8" s="28" t="s">
        <v>25</v>
      </c>
      <c r="M8" s="28" t="s">
        <v>25</v>
      </c>
      <c r="N8" s="28" t="s">
        <v>25</v>
      </c>
      <c r="O8" s="28" t="s">
        <v>25</v>
      </c>
      <c r="P8" s="28" t="s">
        <v>25</v>
      </c>
      <c r="Q8" s="28" t="s">
        <v>27</v>
      </c>
      <c r="R8" s="28" t="s">
        <v>25</v>
      </c>
      <c r="S8" s="28" t="s">
        <v>25</v>
      </c>
      <c r="U8" s="141"/>
      <c r="V8" s="8" t="s">
        <v>6</v>
      </c>
      <c r="W8" s="15">
        <f>+COUNTIF(F5:F40,"1")</f>
        <v>5</v>
      </c>
    </row>
    <row r="9" spans="1:50" x14ac:dyDescent="0.25">
      <c r="A9" s="3">
        <v>5</v>
      </c>
      <c r="B9" s="29">
        <v>42934</v>
      </c>
      <c r="C9" s="28" t="s">
        <v>30</v>
      </c>
      <c r="D9" s="28"/>
      <c r="E9" s="28"/>
      <c r="F9" s="28"/>
      <c r="G9" s="28"/>
      <c r="H9" s="28"/>
      <c r="I9" s="28">
        <v>1</v>
      </c>
      <c r="J9" s="24" t="s">
        <v>59</v>
      </c>
      <c r="K9" s="24" t="s">
        <v>59</v>
      </c>
      <c r="L9" s="28" t="s">
        <v>20</v>
      </c>
      <c r="M9" s="28" t="s">
        <v>25</v>
      </c>
      <c r="N9" s="28" t="s">
        <v>25</v>
      </c>
      <c r="O9" s="28" t="s">
        <v>25</v>
      </c>
      <c r="P9" s="28" t="s">
        <v>25</v>
      </c>
      <c r="Q9" s="28" t="s">
        <v>27</v>
      </c>
      <c r="R9" s="28" t="s">
        <v>25</v>
      </c>
      <c r="S9" s="28" t="s">
        <v>25</v>
      </c>
      <c r="U9" s="141"/>
      <c r="V9" s="8" t="s">
        <v>7</v>
      </c>
      <c r="W9" s="15">
        <f>+COUNTIF(G5:G40,"1")</f>
        <v>5</v>
      </c>
    </row>
    <row r="10" spans="1:50" x14ac:dyDescent="0.25">
      <c r="A10" s="3">
        <v>6</v>
      </c>
      <c r="B10" s="29">
        <v>42934</v>
      </c>
      <c r="C10" s="28" t="s">
        <v>30</v>
      </c>
      <c r="D10" s="28"/>
      <c r="E10" s="28"/>
      <c r="F10" s="28"/>
      <c r="G10" s="28"/>
      <c r="H10" s="28">
        <v>1</v>
      </c>
      <c r="I10" s="28"/>
      <c r="J10" s="24" t="s">
        <v>59</v>
      </c>
      <c r="K10" s="24" t="s">
        <v>59</v>
      </c>
      <c r="L10" s="28" t="s">
        <v>20</v>
      </c>
      <c r="M10" s="28" t="s">
        <v>20</v>
      </c>
      <c r="N10" s="28" t="s">
        <v>20</v>
      </c>
      <c r="O10" s="28" t="s">
        <v>25</v>
      </c>
      <c r="P10" s="28" t="s">
        <v>20</v>
      </c>
      <c r="Q10" s="28" t="s">
        <v>26</v>
      </c>
      <c r="R10" s="28" t="s">
        <v>20</v>
      </c>
      <c r="S10" s="28" t="s">
        <v>25</v>
      </c>
      <c r="U10" s="141"/>
      <c r="V10" s="8" t="s">
        <v>8</v>
      </c>
      <c r="W10" s="15">
        <f>+COUNTIF(H5:H40,"1")</f>
        <v>6</v>
      </c>
    </row>
    <row r="11" spans="1:50" x14ac:dyDescent="0.25">
      <c r="A11" s="3">
        <v>7</v>
      </c>
      <c r="B11" s="29">
        <v>42927</v>
      </c>
      <c r="C11" s="28" t="s">
        <v>30</v>
      </c>
      <c r="D11" s="28"/>
      <c r="E11" s="28"/>
      <c r="F11" s="28"/>
      <c r="G11" s="28">
        <v>1</v>
      </c>
      <c r="H11" s="28"/>
      <c r="I11" s="28"/>
      <c r="J11" s="24" t="s">
        <v>59</v>
      </c>
      <c r="K11" s="24" t="s">
        <v>59</v>
      </c>
      <c r="L11" s="28" t="s">
        <v>25</v>
      </c>
      <c r="M11" s="28" t="s">
        <v>25</v>
      </c>
      <c r="N11" s="28" t="s">
        <v>25</v>
      </c>
      <c r="O11" s="28" t="s">
        <v>25</v>
      </c>
      <c r="P11" s="28" t="s">
        <v>25</v>
      </c>
      <c r="Q11" s="28" t="s">
        <v>27</v>
      </c>
      <c r="R11" s="28" t="s">
        <v>20</v>
      </c>
      <c r="S11" s="28" t="s">
        <v>25</v>
      </c>
      <c r="U11" s="141"/>
      <c r="V11" s="22" t="s">
        <v>9</v>
      </c>
      <c r="W11" s="23">
        <f>+COUNTIF(I5:I40,"1")</f>
        <v>7</v>
      </c>
    </row>
    <row r="12" spans="1:50" ht="15.75" thickBot="1" x14ac:dyDescent="0.3">
      <c r="A12" s="3">
        <v>8</v>
      </c>
      <c r="B12" s="29">
        <v>42927</v>
      </c>
      <c r="C12" s="28" t="s">
        <v>23</v>
      </c>
      <c r="D12" s="28"/>
      <c r="E12" s="28"/>
      <c r="F12" s="28"/>
      <c r="G12" s="28">
        <v>1</v>
      </c>
      <c r="H12" s="28"/>
      <c r="I12" s="28"/>
      <c r="J12" s="24" t="s">
        <v>59</v>
      </c>
      <c r="K12" s="24" t="s">
        <v>59</v>
      </c>
      <c r="L12" s="28" t="s">
        <v>25</v>
      </c>
      <c r="M12" s="28" t="s">
        <v>25</v>
      </c>
      <c r="N12" s="28" t="s">
        <v>25</v>
      </c>
      <c r="O12" s="28" t="s">
        <v>25</v>
      </c>
      <c r="P12" s="28" t="s">
        <v>25</v>
      </c>
      <c r="Q12" s="28" t="s">
        <v>27</v>
      </c>
      <c r="R12" s="28" t="s">
        <v>25</v>
      </c>
      <c r="S12" s="28" t="s">
        <v>25</v>
      </c>
      <c r="U12" s="155"/>
      <c r="V12" s="26" t="s">
        <v>29</v>
      </c>
      <c r="W12" s="16">
        <f>+COUNTIF(I5:I40,"Blanco")</f>
        <v>5</v>
      </c>
    </row>
    <row r="13" spans="1:50" x14ac:dyDescent="0.25">
      <c r="A13" s="3">
        <v>9</v>
      </c>
      <c r="B13" s="29">
        <v>42929</v>
      </c>
      <c r="C13" s="28" t="s">
        <v>23</v>
      </c>
      <c r="D13" s="28"/>
      <c r="E13" s="28"/>
      <c r="F13" s="28">
        <v>1</v>
      </c>
      <c r="G13" s="28"/>
      <c r="H13" s="28"/>
      <c r="I13" s="28"/>
      <c r="J13" s="24" t="s">
        <v>59</v>
      </c>
      <c r="K13" s="24" t="s">
        <v>59</v>
      </c>
      <c r="L13" s="28" t="s">
        <v>25</v>
      </c>
      <c r="M13" s="28" t="s">
        <v>20</v>
      </c>
      <c r="N13" s="28" t="s">
        <v>25</v>
      </c>
      <c r="O13" s="28" t="s">
        <v>25</v>
      </c>
      <c r="P13" s="28" t="s">
        <v>25</v>
      </c>
      <c r="Q13" s="28" t="s">
        <v>27</v>
      </c>
      <c r="R13" s="28" t="s">
        <v>20</v>
      </c>
      <c r="S13" s="28" t="s">
        <v>25</v>
      </c>
      <c r="U13" s="139" t="s">
        <v>35</v>
      </c>
      <c r="V13" s="24" t="s">
        <v>59</v>
      </c>
      <c r="W13" s="25">
        <f>+COUNTIF(K5:K40,"Choluteca")</f>
        <v>15</v>
      </c>
    </row>
    <row r="14" spans="1:50" x14ac:dyDescent="0.25">
      <c r="A14" s="3">
        <v>10</v>
      </c>
      <c r="B14" s="29">
        <v>42927</v>
      </c>
      <c r="C14" s="28" t="s">
        <v>30</v>
      </c>
      <c r="D14" s="28"/>
      <c r="E14" s="28"/>
      <c r="F14" s="28"/>
      <c r="G14" s="28"/>
      <c r="H14" s="28"/>
      <c r="I14" s="20" t="s">
        <v>29</v>
      </c>
      <c r="J14" s="24" t="s">
        <v>59</v>
      </c>
      <c r="K14" s="24" t="s">
        <v>59</v>
      </c>
      <c r="L14" s="28" t="s">
        <v>25</v>
      </c>
      <c r="M14" s="28" t="s">
        <v>25</v>
      </c>
      <c r="N14" s="28" t="s">
        <v>25</v>
      </c>
      <c r="O14" s="28" t="s">
        <v>25</v>
      </c>
      <c r="P14" s="28" t="s">
        <v>25</v>
      </c>
      <c r="Q14" s="28" t="s">
        <v>26</v>
      </c>
      <c r="R14" s="28" t="s">
        <v>25</v>
      </c>
      <c r="S14" s="28" t="s">
        <v>20</v>
      </c>
      <c r="U14" s="109"/>
      <c r="V14" s="1" t="s">
        <v>60</v>
      </c>
      <c r="W14" s="15">
        <f>+COUNTIF(K5:K40,"Santa Ana de Yusguare")</f>
        <v>10</v>
      </c>
    </row>
    <row r="15" spans="1:50" ht="15.75" thickBot="1" x14ac:dyDescent="0.3">
      <c r="A15" s="3">
        <v>11</v>
      </c>
      <c r="B15" s="29">
        <v>42929</v>
      </c>
      <c r="C15" s="28" t="s">
        <v>23</v>
      </c>
      <c r="D15" s="28"/>
      <c r="E15" s="28"/>
      <c r="F15" s="28"/>
      <c r="G15" s="28"/>
      <c r="H15" s="28"/>
      <c r="I15" s="28">
        <v>1</v>
      </c>
      <c r="J15" s="24" t="s">
        <v>59</v>
      </c>
      <c r="K15" s="24" t="s">
        <v>59</v>
      </c>
      <c r="L15" s="28" t="s">
        <v>20</v>
      </c>
      <c r="M15" s="28" t="s">
        <v>20</v>
      </c>
      <c r="N15" s="28" t="s">
        <v>25</v>
      </c>
      <c r="O15" s="28" t="s">
        <v>20</v>
      </c>
      <c r="P15" s="28" t="s">
        <v>20</v>
      </c>
      <c r="Q15" s="28" t="s">
        <v>27</v>
      </c>
      <c r="R15" s="28" t="s">
        <v>25</v>
      </c>
      <c r="S15" s="28" t="s">
        <v>20</v>
      </c>
      <c r="U15" s="110"/>
      <c r="V15" s="27" t="s">
        <v>61</v>
      </c>
      <c r="W15" s="16">
        <f>+COUNTIF(K5:K40,"Marcovia")</f>
        <v>10</v>
      </c>
    </row>
    <row r="16" spans="1:50" ht="15" customHeight="1" x14ac:dyDescent="0.25">
      <c r="A16" s="3">
        <v>12</v>
      </c>
      <c r="B16" s="29">
        <v>42934</v>
      </c>
      <c r="C16" s="28" t="s">
        <v>23</v>
      </c>
      <c r="D16" s="28"/>
      <c r="E16" s="28"/>
      <c r="F16" s="28"/>
      <c r="G16" s="28">
        <v>1</v>
      </c>
      <c r="H16" s="28"/>
      <c r="I16" s="28"/>
      <c r="J16" s="24" t="s">
        <v>59</v>
      </c>
      <c r="K16" s="24" t="s">
        <v>59</v>
      </c>
      <c r="L16" s="28" t="s">
        <v>25</v>
      </c>
      <c r="M16" s="28" t="s">
        <v>20</v>
      </c>
      <c r="N16" s="28" t="s">
        <v>25</v>
      </c>
      <c r="O16" s="28" t="s">
        <v>25</v>
      </c>
      <c r="P16" s="28" t="s">
        <v>25</v>
      </c>
      <c r="Q16" s="28" t="s">
        <v>27</v>
      </c>
      <c r="R16" s="28" t="s">
        <v>20</v>
      </c>
      <c r="S16" s="28" t="s">
        <v>25</v>
      </c>
      <c r="U16" s="137" t="s">
        <v>36</v>
      </c>
      <c r="V16" s="12" t="s">
        <v>20</v>
      </c>
      <c r="W16" s="14">
        <f>+COUNTIF(L5:L40,"Si")</f>
        <v>12</v>
      </c>
      <c r="X16" s="125" t="s">
        <v>118</v>
      </c>
      <c r="Y16" s="48" t="s">
        <v>114</v>
      </c>
      <c r="Z16" s="49">
        <f>COUNTIFS($C$5:$C$65,"M",$L$5:$L$65,"Si")</f>
        <v>8</v>
      </c>
      <c r="AA16" s="125" t="s">
        <v>117</v>
      </c>
      <c r="AB16" s="48" t="s">
        <v>114</v>
      </c>
      <c r="AC16" s="55">
        <f>COUNTIFS($C$5:$C$65,"M",$L$5:$L$65,"No")</f>
        <v>10</v>
      </c>
      <c r="AD16" s="125" t="s">
        <v>118</v>
      </c>
      <c r="AE16" s="48" t="s">
        <v>4</v>
      </c>
      <c r="AF16" s="48">
        <f>COUNTIFS($D$5:$D$65,"1",$L$5:$L$65,"Si")</f>
        <v>1</v>
      </c>
      <c r="AG16" s="48" t="s">
        <v>7</v>
      </c>
      <c r="AH16" s="48">
        <f>COUNTIFS($G$5:$G$65,"1",$L$5:$L$65,"Si")</f>
        <v>1</v>
      </c>
      <c r="AI16" s="48" t="s">
        <v>29</v>
      </c>
      <c r="AJ16" s="49">
        <f>COUNTIFS($I$5:$I$65,"Blanco",$L$5:$L$65,"Si")</f>
        <v>3</v>
      </c>
      <c r="AK16" s="50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x14ac:dyDescent="0.25">
      <c r="A17" s="3">
        <v>13</v>
      </c>
      <c r="B17" s="29">
        <v>42934</v>
      </c>
      <c r="C17" s="28" t="s">
        <v>23</v>
      </c>
      <c r="D17" s="28"/>
      <c r="E17" s="28"/>
      <c r="F17" s="28"/>
      <c r="G17" s="28"/>
      <c r="H17" s="28"/>
      <c r="I17" s="28">
        <v>1</v>
      </c>
      <c r="J17" s="24" t="s">
        <v>59</v>
      </c>
      <c r="K17" s="24" t="s">
        <v>59</v>
      </c>
      <c r="L17" s="28" t="s">
        <v>25</v>
      </c>
      <c r="M17" s="28" t="s">
        <v>20</v>
      </c>
      <c r="N17" s="28" t="s">
        <v>25</v>
      </c>
      <c r="O17" s="28" t="s">
        <v>25</v>
      </c>
      <c r="P17" s="28" t="s">
        <v>25</v>
      </c>
      <c r="Q17" s="28" t="s">
        <v>27</v>
      </c>
      <c r="R17" s="28" t="s">
        <v>20</v>
      </c>
      <c r="S17" s="28" t="s">
        <v>25</v>
      </c>
      <c r="U17" s="109"/>
      <c r="V17" s="9" t="s">
        <v>25</v>
      </c>
      <c r="W17" s="15">
        <f>+COUNTIF(L5:L40,"No")</f>
        <v>23</v>
      </c>
      <c r="X17" s="126"/>
      <c r="Y17" s="6" t="s">
        <v>115</v>
      </c>
      <c r="Z17" s="51">
        <f>COUNTIFS($C$5:$C$65,"F",$L$5:$L$65,"Si")</f>
        <v>4</v>
      </c>
      <c r="AA17" s="126"/>
      <c r="AB17" s="6" t="s">
        <v>115</v>
      </c>
      <c r="AC17" s="57">
        <f>COUNTIFS($C$5:$C$65,"F",$L$5:$L$65,"No")</f>
        <v>12</v>
      </c>
      <c r="AD17" s="126"/>
      <c r="AE17" s="6" t="s">
        <v>5</v>
      </c>
      <c r="AF17" s="6">
        <f>COUNTIFS($E$5:$E$65,"1",$L$5:$L$65,"Si")</f>
        <v>1</v>
      </c>
      <c r="AG17" s="39" t="s">
        <v>8</v>
      </c>
      <c r="AH17" s="6">
        <f>COUNTIFS($H$5:$H$65,"1",$L$5:$L$65,"Si")</f>
        <v>2</v>
      </c>
      <c r="AI17" s="6"/>
      <c r="AJ17" s="51"/>
      <c r="AK17" s="50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5.75" thickBot="1" x14ac:dyDescent="0.3">
      <c r="A18" s="3">
        <v>14</v>
      </c>
      <c r="B18" s="29">
        <v>42934</v>
      </c>
      <c r="C18" s="28" t="s">
        <v>23</v>
      </c>
      <c r="D18" s="28"/>
      <c r="E18" s="28">
        <v>1</v>
      </c>
      <c r="F18" s="28"/>
      <c r="G18" s="28"/>
      <c r="H18" s="28"/>
      <c r="I18" s="28"/>
      <c r="J18" s="24" t="s">
        <v>59</v>
      </c>
      <c r="K18" s="24" t="s">
        <v>59</v>
      </c>
      <c r="L18" s="28" t="s">
        <v>25</v>
      </c>
      <c r="M18" s="28" t="s">
        <v>20</v>
      </c>
      <c r="N18" s="28" t="s">
        <v>25</v>
      </c>
      <c r="O18" s="28" t="s">
        <v>25</v>
      </c>
      <c r="P18" s="28" t="s">
        <v>25</v>
      </c>
      <c r="Q18" s="28" t="s">
        <v>27</v>
      </c>
      <c r="R18" s="28" t="s">
        <v>25</v>
      </c>
      <c r="S18" s="28" t="s">
        <v>25</v>
      </c>
      <c r="U18" s="110"/>
      <c r="V18" s="13" t="s">
        <v>29</v>
      </c>
      <c r="W18" s="16">
        <f>+COUNTIF(L5:L40,"Blanco")</f>
        <v>0</v>
      </c>
      <c r="X18" s="127"/>
      <c r="Y18" s="26" t="s">
        <v>29</v>
      </c>
      <c r="Z18" s="52">
        <f>COUNTIFS($C$5:$C$65,"Blanco",$L$5:$L$65,"Si")</f>
        <v>0</v>
      </c>
      <c r="AA18" s="127"/>
      <c r="AB18" s="26" t="s">
        <v>29</v>
      </c>
      <c r="AC18" s="58">
        <f>COUNTIFS($C$5:$C$65,"Blanco",$L$5:$L$65,"No")</f>
        <v>1</v>
      </c>
      <c r="AD18" s="127"/>
      <c r="AE18" s="26" t="s">
        <v>6</v>
      </c>
      <c r="AF18" s="26">
        <f>COUNTIFS($F$5:$F$65,"1",$L$5:$L$65,"Si")</f>
        <v>0</v>
      </c>
      <c r="AG18" s="26" t="s">
        <v>9</v>
      </c>
      <c r="AH18" s="26">
        <f>COUNTIFS($I$5:$I$65,"1",$L$5:$L$65,"Si")</f>
        <v>4</v>
      </c>
      <c r="AI18" s="26"/>
      <c r="AJ18" s="52"/>
      <c r="AK18" s="50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x14ac:dyDescent="0.25">
      <c r="A19" s="3">
        <v>15</v>
      </c>
      <c r="B19" s="29">
        <v>42934</v>
      </c>
      <c r="C19" s="28" t="s">
        <v>30</v>
      </c>
      <c r="D19" s="28"/>
      <c r="E19" s="28"/>
      <c r="F19" s="28">
        <v>1</v>
      </c>
      <c r="G19" s="28"/>
      <c r="H19" s="28"/>
      <c r="I19" s="28"/>
      <c r="J19" s="24" t="s">
        <v>59</v>
      </c>
      <c r="K19" s="24" t="s">
        <v>59</v>
      </c>
      <c r="L19" s="28" t="s">
        <v>25</v>
      </c>
      <c r="M19" s="28" t="s">
        <v>20</v>
      </c>
      <c r="N19" s="28" t="s">
        <v>25</v>
      </c>
      <c r="O19" s="28" t="s">
        <v>25</v>
      </c>
      <c r="P19" s="28" t="s">
        <v>25</v>
      </c>
      <c r="Q19" s="28" t="s">
        <v>27</v>
      </c>
      <c r="R19" s="28" t="s">
        <v>20</v>
      </c>
      <c r="S19" s="28" t="s">
        <v>25</v>
      </c>
      <c r="U19" s="137" t="s">
        <v>37</v>
      </c>
      <c r="V19" s="12" t="s">
        <v>20</v>
      </c>
      <c r="W19" s="14">
        <f>+COUNTIF(M5:M40,"Si")</f>
        <v>17</v>
      </c>
      <c r="X19" s="125" t="s">
        <v>118</v>
      </c>
      <c r="Y19" s="48" t="s">
        <v>114</v>
      </c>
      <c r="Z19" s="49">
        <f>COUNTIFS($C$5:$C$65,"M",$M$5:$M$65,"Si")</f>
        <v>7</v>
      </c>
      <c r="AA19" s="125" t="s">
        <v>117</v>
      </c>
      <c r="AB19" s="48" t="s">
        <v>114</v>
      </c>
      <c r="AC19" s="55">
        <f>COUNTIFS($C$5:$C$65,"M",$M$5:$M$65,"No")</f>
        <v>11</v>
      </c>
      <c r="AD19" s="132" t="s">
        <v>118</v>
      </c>
      <c r="AE19" s="61" t="s">
        <v>4</v>
      </c>
      <c r="AF19" s="48">
        <f>COUNTIFS($D$5:$D$65,"1",$M$5:$M$65,"Si")</f>
        <v>1</v>
      </c>
      <c r="AG19" s="61" t="s">
        <v>7</v>
      </c>
      <c r="AH19" s="48">
        <f>COUNTIFS($G$5:$G$65,"1",$M$5:$M$65,"Si")</f>
        <v>2</v>
      </c>
      <c r="AI19" s="61" t="s">
        <v>29</v>
      </c>
      <c r="AJ19" s="49">
        <f>COUNTIFS($I$5:$I$65,"Blanco",$M$5:$M$65,"Si")</f>
        <v>0</v>
      </c>
      <c r="AK19" s="50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x14ac:dyDescent="0.25">
      <c r="A20" s="3">
        <v>16</v>
      </c>
      <c r="B20" s="29">
        <v>42934</v>
      </c>
      <c r="C20" s="28" t="s">
        <v>30</v>
      </c>
      <c r="D20" s="28"/>
      <c r="E20" s="28"/>
      <c r="F20" s="28"/>
      <c r="G20" s="28"/>
      <c r="H20" s="28"/>
      <c r="I20" s="20" t="s">
        <v>29</v>
      </c>
      <c r="J20" s="24" t="s">
        <v>59</v>
      </c>
      <c r="K20" s="28" t="s">
        <v>60</v>
      </c>
      <c r="L20" s="28" t="s">
        <v>20</v>
      </c>
      <c r="M20" s="28" t="s">
        <v>25</v>
      </c>
      <c r="N20" s="28" t="s">
        <v>25</v>
      </c>
      <c r="O20" s="28" t="s">
        <v>25</v>
      </c>
      <c r="P20" s="28" t="s">
        <v>25</v>
      </c>
      <c r="Q20" s="28" t="s">
        <v>27</v>
      </c>
      <c r="R20" s="28" t="s">
        <v>25</v>
      </c>
      <c r="S20" s="28" t="s">
        <v>25</v>
      </c>
      <c r="U20" s="109"/>
      <c r="V20" s="9" t="s">
        <v>25</v>
      </c>
      <c r="W20" s="15">
        <f>+COUNTIF(M5:M40,"No")</f>
        <v>18</v>
      </c>
      <c r="X20" s="126"/>
      <c r="Y20" s="6" t="s">
        <v>115</v>
      </c>
      <c r="Z20" s="51">
        <f>COUNTIFS($C$5:$C$65,"F",$M$5:$M$65,"Si")</f>
        <v>10</v>
      </c>
      <c r="AA20" s="126"/>
      <c r="AB20" s="6" t="s">
        <v>115</v>
      </c>
      <c r="AC20" s="57">
        <f>COUNTIFS($C$5:$C$65,"F",$M$5:$M$65,"No")</f>
        <v>6</v>
      </c>
      <c r="AD20" s="126"/>
      <c r="AE20" s="6" t="s">
        <v>5</v>
      </c>
      <c r="AF20" s="6">
        <f>COUNTIFS($E$5:$E$65,"1",$M$5:$M$65,"Si")</f>
        <v>2</v>
      </c>
      <c r="AG20" s="39" t="s">
        <v>8</v>
      </c>
      <c r="AH20" s="6">
        <f>COUNTIFS($H$5:$H$65,"1",$M$5:$M$65,"Si")</f>
        <v>4</v>
      </c>
      <c r="AI20" s="6"/>
      <c r="AJ20" s="51"/>
      <c r="AK20" s="50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5.75" thickBot="1" x14ac:dyDescent="0.3">
      <c r="A21" s="3">
        <v>17</v>
      </c>
      <c r="B21" s="29">
        <v>42934</v>
      </c>
      <c r="C21" s="28" t="s">
        <v>30</v>
      </c>
      <c r="D21" s="28">
        <v>1</v>
      </c>
      <c r="E21" s="28"/>
      <c r="F21" s="28"/>
      <c r="G21" s="28"/>
      <c r="H21" s="28"/>
      <c r="I21" s="28"/>
      <c r="J21" s="24" t="s">
        <v>59</v>
      </c>
      <c r="K21" s="28" t="s">
        <v>60</v>
      </c>
      <c r="L21" s="28" t="s">
        <v>25</v>
      </c>
      <c r="M21" s="28" t="s">
        <v>25</v>
      </c>
      <c r="N21" s="28" t="s">
        <v>25</v>
      </c>
      <c r="O21" s="28" t="s">
        <v>25</v>
      </c>
      <c r="P21" s="28" t="s">
        <v>25</v>
      </c>
      <c r="Q21" s="28" t="s">
        <v>28</v>
      </c>
      <c r="R21" s="28" t="s">
        <v>25</v>
      </c>
      <c r="S21" s="28" t="s">
        <v>25</v>
      </c>
      <c r="U21" s="110"/>
      <c r="V21" s="13" t="s">
        <v>29</v>
      </c>
      <c r="W21" s="16">
        <f>+COUNTIF(M5:M40,"Blanco")</f>
        <v>0</v>
      </c>
      <c r="X21" s="127"/>
      <c r="Y21" s="26" t="s">
        <v>29</v>
      </c>
      <c r="Z21" s="52">
        <f>COUNTIFS($C$5:$C$65,"Blanco",$M$5:$M$65,"Si")</f>
        <v>0</v>
      </c>
      <c r="AA21" s="127"/>
      <c r="AB21" s="26" t="s">
        <v>29</v>
      </c>
      <c r="AC21" s="58">
        <f>COUNTIFS($C$5:$C$65,"Blanco",$M$5:$M$65,"No")</f>
        <v>1</v>
      </c>
      <c r="AD21" s="127"/>
      <c r="AE21" s="26" t="s">
        <v>6</v>
      </c>
      <c r="AF21" s="26">
        <f>COUNTIFS($F$5:$F$65,"1",$M$5:$M$65,"Si")</f>
        <v>3</v>
      </c>
      <c r="AG21" s="26" t="s">
        <v>9</v>
      </c>
      <c r="AH21" s="26">
        <f>COUNTIFS($I$5:$I$65,"1",$M$5:$M$65,"Si")</f>
        <v>5</v>
      </c>
      <c r="AI21" s="26"/>
      <c r="AJ21" s="52"/>
      <c r="AK21" s="50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x14ac:dyDescent="0.25">
      <c r="A22" s="3">
        <v>18</v>
      </c>
      <c r="B22" s="29">
        <v>42934</v>
      </c>
      <c r="C22" s="28" t="s">
        <v>30</v>
      </c>
      <c r="D22" s="28">
        <v>1</v>
      </c>
      <c r="E22" s="28"/>
      <c r="F22" s="28"/>
      <c r="G22" s="28"/>
      <c r="H22" s="28"/>
      <c r="I22" s="28"/>
      <c r="J22" s="24" t="s">
        <v>59</v>
      </c>
      <c r="K22" s="28" t="s">
        <v>60</v>
      </c>
      <c r="L22" s="28" t="s">
        <v>25</v>
      </c>
      <c r="M22" s="28" t="s">
        <v>25</v>
      </c>
      <c r="N22" s="28" t="s">
        <v>25</v>
      </c>
      <c r="O22" s="28" t="s">
        <v>25</v>
      </c>
      <c r="P22" s="28" t="s">
        <v>25</v>
      </c>
      <c r="Q22" s="28" t="s">
        <v>34</v>
      </c>
      <c r="R22" s="28" t="s">
        <v>25</v>
      </c>
      <c r="S22" s="28" t="s">
        <v>25</v>
      </c>
      <c r="U22" s="137" t="s">
        <v>38</v>
      </c>
      <c r="V22" s="12" t="s">
        <v>20</v>
      </c>
      <c r="W22" s="14">
        <f>+COUNTIF(N5:N40,"Si")</f>
        <v>4</v>
      </c>
      <c r="X22" s="125" t="s">
        <v>118</v>
      </c>
      <c r="Y22" s="48" t="s">
        <v>114</v>
      </c>
      <c r="Z22" s="49">
        <f>COUNTIFS($C$5:$C$65,"M",$N$5:$N$65,"Si")</f>
        <v>3</v>
      </c>
      <c r="AA22" s="125" t="s">
        <v>117</v>
      </c>
      <c r="AB22" s="48" t="s">
        <v>114</v>
      </c>
      <c r="AC22" s="55">
        <f>COUNTIFS($C$5:$C$65,"M",$N$5:$N$65,"No")</f>
        <v>15</v>
      </c>
      <c r="AD22" s="125" t="s">
        <v>117</v>
      </c>
      <c r="AE22" s="48" t="s">
        <v>4</v>
      </c>
      <c r="AF22" s="48">
        <f>COUNTIFS($D$5:$D$65,"1",$N$5:$N$65,"No")</f>
        <v>5</v>
      </c>
      <c r="AG22" s="48" t="s">
        <v>7</v>
      </c>
      <c r="AH22" s="48">
        <f>COUNTIFS($G$5:$G$65,"1",$N$5:$N$65,"No")</f>
        <v>5</v>
      </c>
      <c r="AI22" s="48" t="s">
        <v>29</v>
      </c>
      <c r="AJ22" s="49">
        <f>COUNTIFS($I$5:$I$65,"Blanco",$N$5:$N$65,"No")</f>
        <v>5</v>
      </c>
      <c r="AK22" s="50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x14ac:dyDescent="0.25">
      <c r="A23" s="3">
        <v>19</v>
      </c>
      <c r="B23" s="29">
        <v>42934</v>
      </c>
      <c r="C23" s="28" t="s">
        <v>30</v>
      </c>
      <c r="D23" s="28">
        <v>1</v>
      </c>
      <c r="E23" s="28"/>
      <c r="F23" s="28"/>
      <c r="G23" s="28"/>
      <c r="H23" s="28"/>
      <c r="I23" s="28"/>
      <c r="J23" s="24" t="s">
        <v>59</v>
      </c>
      <c r="K23" s="28" t="s">
        <v>60</v>
      </c>
      <c r="L23" s="28" t="s">
        <v>25</v>
      </c>
      <c r="M23" s="28" t="s">
        <v>25</v>
      </c>
      <c r="N23" s="28" t="s">
        <v>25</v>
      </c>
      <c r="O23" s="28" t="s">
        <v>25</v>
      </c>
      <c r="P23" s="28" t="s">
        <v>25</v>
      </c>
      <c r="Q23" s="28" t="s">
        <v>34</v>
      </c>
      <c r="R23" s="28" t="s">
        <v>25</v>
      </c>
      <c r="S23" s="28" t="s">
        <v>25</v>
      </c>
      <c r="U23" s="109"/>
      <c r="V23" s="9" t="s">
        <v>25</v>
      </c>
      <c r="W23" s="15">
        <f>+COUNTIF(N5:N40,"No")</f>
        <v>31</v>
      </c>
      <c r="X23" s="126"/>
      <c r="Y23" s="6" t="s">
        <v>115</v>
      </c>
      <c r="Z23" s="51">
        <f>COUNTIFS($C$5:$C$65,"F",$N$5:$N$65,"Si")</f>
        <v>1</v>
      </c>
      <c r="AA23" s="126"/>
      <c r="AB23" s="6" t="s">
        <v>115</v>
      </c>
      <c r="AC23" s="57">
        <f>COUNTIFS($C$5:$C$65,"F",$N$5:$N$65,"No")</f>
        <v>15</v>
      </c>
      <c r="AD23" s="126"/>
      <c r="AE23" s="6" t="s">
        <v>5</v>
      </c>
      <c r="AF23" s="6">
        <f>COUNTIFS($E$5:$E$65,"1",$N$5:$N$65,"No")</f>
        <v>1</v>
      </c>
      <c r="AG23" s="39" t="s">
        <v>8</v>
      </c>
      <c r="AH23" s="6">
        <f>COUNTIFS($H$5:$H$65,"1",$N$5:$N$65,"No")</f>
        <v>3</v>
      </c>
      <c r="AI23" s="6"/>
      <c r="AJ23" s="51"/>
      <c r="AK23" s="50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5.75" thickBot="1" x14ac:dyDescent="0.3">
      <c r="A24" s="3">
        <v>20</v>
      </c>
      <c r="B24" s="29">
        <v>42934</v>
      </c>
      <c r="C24" s="28" t="s">
        <v>30</v>
      </c>
      <c r="D24" s="28"/>
      <c r="E24" s="28"/>
      <c r="F24" s="28"/>
      <c r="G24" s="28"/>
      <c r="H24" s="28"/>
      <c r="I24" s="20" t="s">
        <v>29</v>
      </c>
      <c r="J24" s="24" t="s">
        <v>59</v>
      </c>
      <c r="K24" s="28" t="s">
        <v>60</v>
      </c>
      <c r="L24" s="28" t="s">
        <v>20</v>
      </c>
      <c r="M24" s="28" t="s">
        <v>25</v>
      </c>
      <c r="N24" s="28" t="s">
        <v>25</v>
      </c>
      <c r="O24" s="28" t="s">
        <v>25</v>
      </c>
      <c r="P24" s="28" t="s">
        <v>25</v>
      </c>
      <c r="Q24" s="28" t="s">
        <v>34</v>
      </c>
      <c r="R24" s="28" t="s">
        <v>20</v>
      </c>
      <c r="S24" s="28" t="s">
        <v>25</v>
      </c>
      <c r="U24" s="110"/>
      <c r="V24" s="13" t="s">
        <v>29</v>
      </c>
      <c r="W24" s="16">
        <f>+COUNTIF(N5:N40,"Blanco")</f>
        <v>0</v>
      </c>
      <c r="X24" s="127"/>
      <c r="Y24" s="26" t="s">
        <v>29</v>
      </c>
      <c r="Z24" s="52">
        <f>COUNTIFS($C$5:$C$65,"Blanco",$N$5:N65,"Si")</f>
        <v>0</v>
      </c>
      <c r="AA24" s="127"/>
      <c r="AB24" s="26" t="s">
        <v>29</v>
      </c>
      <c r="AC24" s="58">
        <f>COUNTIFS($C$5:$C$65,"Blanco",$N$5:$N$65,"No")</f>
        <v>1</v>
      </c>
      <c r="AD24" s="127"/>
      <c r="AE24" s="26" t="s">
        <v>6</v>
      </c>
      <c r="AF24" s="26">
        <f>COUNTIFS($F$5:$F$65,"1",$N$5:$N$65,"No")</f>
        <v>5</v>
      </c>
      <c r="AG24" s="26" t="s">
        <v>9</v>
      </c>
      <c r="AH24" s="26">
        <f>COUNTIFS($I$5:$I$65,"1",$N$5:$N$65,"No")</f>
        <v>7</v>
      </c>
      <c r="AI24" s="26"/>
      <c r="AJ24" s="52"/>
      <c r="AK24" s="50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x14ac:dyDescent="0.25">
      <c r="A25" s="3">
        <v>21</v>
      </c>
      <c r="B25" s="29">
        <v>42934</v>
      </c>
      <c r="C25" s="28" t="s">
        <v>23</v>
      </c>
      <c r="D25" s="28">
        <v>1</v>
      </c>
      <c r="E25" s="28"/>
      <c r="F25" s="28"/>
      <c r="G25" s="28"/>
      <c r="H25" s="28"/>
      <c r="I25" s="28"/>
      <c r="J25" s="24" t="s">
        <v>59</v>
      </c>
      <c r="K25" s="28" t="s">
        <v>60</v>
      </c>
      <c r="L25" s="28" t="s">
        <v>20</v>
      </c>
      <c r="M25" s="28" t="s">
        <v>20</v>
      </c>
      <c r="N25" s="28" t="s">
        <v>25</v>
      </c>
      <c r="O25" s="28" t="s">
        <v>20</v>
      </c>
      <c r="P25" s="28" t="s">
        <v>25</v>
      </c>
      <c r="Q25" s="28" t="s">
        <v>27</v>
      </c>
      <c r="R25" s="28" t="s">
        <v>25</v>
      </c>
      <c r="S25" s="28" t="s">
        <v>25</v>
      </c>
      <c r="U25" s="137" t="s">
        <v>39</v>
      </c>
      <c r="V25" s="12" t="s">
        <v>20</v>
      </c>
      <c r="W25" s="14">
        <f>+COUNTIF(O5:O40,"Si")</f>
        <v>6</v>
      </c>
      <c r="X25" s="125" t="s">
        <v>118</v>
      </c>
      <c r="Y25" s="48" t="s">
        <v>114</v>
      </c>
      <c r="Z25" s="49">
        <f>COUNTIFS($C$5:$C$65,"M",$O$5:O65,"Si")</f>
        <v>2</v>
      </c>
      <c r="AA25" s="128" t="s">
        <v>117</v>
      </c>
      <c r="AB25" s="19" t="s">
        <v>114</v>
      </c>
      <c r="AC25" s="65">
        <f>COUNTIFS($C$5:$C$65,"M",$O$5:$O$65,"No")</f>
        <v>16</v>
      </c>
      <c r="AD25" s="128" t="s">
        <v>117</v>
      </c>
      <c r="AE25" s="19" t="s">
        <v>4</v>
      </c>
      <c r="AF25" s="19">
        <f>COUNTIFS($D$5:$D$65,"1",$O$5:$O$65,"No")</f>
        <v>4</v>
      </c>
      <c r="AG25" s="19" t="s">
        <v>7</v>
      </c>
      <c r="AH25" s="19">
        <f>COUNTIFS($G$5:$G$65,"1",$O$5:$O$65,"No")</f>
        <v>5</v>
      </c>
      <c r="AI25" s="19" t="s">
        <v>29</v>
      </c>
      <c r="AJ25" s="66">
        <f>COUNTIFS($I$5:$I$65,"Blanco",$O$5:$O$65,"No")</f>
        <v>5</v>
      </c>
      <c r="AK25" s="50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x14ac:dyDescent="0.25">
      <c r="A26" s="3">
        <v>22</v>
      </c>
      <c r="B26" s="29">
        <v>42934</v>
      </c>
      <c r="C26" s="28" t="s">
        <v>23</v>
      </c>
      <c r="D26" s="28"/>
      <c r="E26" s="28"/>
      <c r="F26" s="28"/>
      <c r="G26" s="28"/>
      <c r="H26" s="28"/>
      <c r="I26" s="20" t="s">
        <v>29</v>
      </c>
      <c r="J26" s="24" t="s">
        <v>59</v>
      </c>
      <c r="K26" s="28" t="s">
        <v>60</v>
      </c>
      <c r="L26" s="28" t="s">
        <v>20</v>
      </c>
      <c r="M26" s="28" t="s">
        <v>25</v>
      </c>
      <c r="N26" s="28" t="s">
        <v>25</v>
      </c>
      <c r="O26" s="28" t="s">
        <v>25</v>
      </c>
      <c r="P26" s="28" t="s">
        <v>25</v>
      </c>
      <c r="Q26" s="28" t="s">
        <v>34</v>
      </c>
      <c r="R26" s="28" t="s">
        <v>20</v>
      </c>
      <c r="S26" s="28" t="s">
        <v>25</v>
      </c>
      <c r="U26" s="109"/>
      <c r="V26" s="9" t="s">
        <v>25</v>
      </c>
      <c r="W26" s="15">
        <f>+COUNTIF(O5:O40,"No")</f>
        <v>29</v>
      </c>
      <c r="X26" s="126"/>
      <c r="Y26" s="6" t="s">
        <v>115</v>
      </c>
      <c r="Z26" s="51">
        <f>COUNTIFS($C$5:$C$65,"F",$O$5:$O$65,"Si")</f>
        <v>4</v>
      </c>
      <c r="AA26" s="129"/>
      <c r="AB26" s="35" t="s">
        <v>115</v>
      </c>
      <c r="AC26" s="67">
        <f>COUNTIFS($C$2:$C$65,"F",$O$2:$O$65,"No")</f>
        <v>12</v>
      </c>
      <c r="AD26" s="129"/>
      <c r="AE26" s="35" t="s">
        <v>5</v>
      </c>
      <c r="AF26" s="35">
        <f>COUNTIFS($E$5:$E$65,"1",$O$5:$O$65,"No")</f>
        <v>1</v>
      </c>
      <c r="AG26" s="9" t="s">
        <v>8</v>
      </c>
      <c r="AH26" s="35">
        <f>COUNTIFS($H$5:$H$65,"1",$O$5:$O$65,"No")</f>
        <v>4</v>
      </c>
      <c r="AI26" s="35"/>
      <c r="AJ26" s="68"/>
      <c r="AK26" s="50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5.75" thickBot="1" x14ac:dyDescent="0.3">
      <c r="A27" s="3">
        <v>23</v>
      </c>
      <c r="B27" s="29">
        <v>42934</v>
      </c>
      <c r="C27" s="28" t="s">
        <v>30</v>
      </c>
      <c r="D27" s="28"/>
      <c r="E27" s="28"/>
      <c r="F27" s="28"/>
      <c r="G27" s="28">
        <v>1</v>
      </c>
      <c r="H27" s="28"/>
      <c r="I27" s="28"/>
      <c r="J27" s="24" t="s">
        <v>59</v>
      </c>
      <c r="K27" s="28" t="s">
        <v>60</v>
      </c>
      <c r="L27" s="28" t="s">
        <v>20</v>
      </c>
      <c r="M27" s="28" t="s">
        <v>20</v>
      </c>
      <c r="N27" s="28" t="s">
        <v>25</v>
      </c>
      <c r="O27" s="28" t="s">
        <v>25</v>
      </c>
      <c r="P27" s="28" t="s">
        <v>25</v>
      </c>
      <c r="Q27" s="28" t="s">
        <v>27</v>
      </c>
      <c r="R27" s="28" t="s">
        <v>20</v>
      </c>
      <c r="S27" s="28" t="s">
        <v>20</v>
      </c>
      <c r="U27" s="110"/>
      <c r="V27" s="13" t="s">
        <v>29</v>
      </c>
      <c r="W27" s="16">
        <f>+COUNTIF(O5:O40,"Blanco")</f>
        <v>0</v>
      </c>
      <c r="X27" s="127"/>
      <c r="Y27" s="26" t="s">
        <v>29</v>
      </c>
      <c r="Z27" s="52">
        <f>COUNTIFS($C$5:$C$65,"Blanco",$O$5:$O$65,"Si")</f>
        <v>0</v>
      </c>
      <c r="AA27" s="130"/>
      <c r="AB27" s="27" t="s">
        <v>29</v>
      </c>
      <c r="AC27" s="69">
        <f>COUNTIFS($C$2:$C$65,"Blanco",$O$2:$O$65,"No")</f>
        <v>1</v>
      </c>
      <c r="AD27" s="130"/>
      <c r="AE27" s="27" t="s">
        <v>6</v>
      </c>
      <c r="AF27" s="27">
        <f>COUNTIFS($F$5:$F$65,"1",$O$5:$O$65,"No")</f>
        <v>5</v>
      </c>
      <c r="AG27" s="27" t="s">
        <v>9</v>
      </c>
      <c r="AH27" s="27">
        <f>COUNTIFS($I$5:$I$65,"1",$O$5:$O$65,"No")</f>
        <v>5</v>
      </c>
      <c r="AI27" s="27"/>
      <c r="AJ27" s="70"/>
      <c r="AK27" s="50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x14ac:dyDescent="0.25">
      <c r="A28" s="3">
        <v>24</v>
      </c>
      <c r="B28" s="29">
        <v>42934</v>
      </c>
      <c r="C28" s="20" t="s">
        <v>29</v>
      </c>
      <c r="D28" s="28"/>
      <c r="E28" s="28"/>
      <c r="F28" s="28"/>
      <c r="G28" s="28"/>
      <c r="H28" s="28"/>
      <c r="I28" s="20" t="s">
        <v>29</v>
      </c>
      <c r="J28" s="24" t="s">
        <v>59</v>
      </c>
      <c r="K28" s="28" t="s">
        <v>60</v>
      </c>
      <c r="L28" s="28" t="s">
        <v>25</v>
      </c>
      <c r="M28" s="28" t="s">
        <v>25</v>
      </c>
      <c r="N28" s="28" t="s">
        <v>25</v>
      </c>
      <c r="O28" s="28" t="s">
        <v>25</v>
      </c>
      <c r="P28" s="28" t="s">
        <v>25</v>
      </c>
      <c r="Q28" s="28" t="s">
        <v>26</v>
      </c>
      <c r="R28" s="28" t="s">
        <v>25</v>
      </c>
      <c r="S28" s="28" t="s">
        <v>25</v>
      </c>
      <c r="U28" s="137" t="s">
        <v>40</v>
      </c>
      <c r="V28" s="12" t="s">
        <v>20</v>
      </c>
      <c r="W28" s="14">
        <f>+COUNTIF(P5:P40,"Si")</f>
        <v>4</v>
      </c>
      <c r="X28" s="125" t="s">
        <v>118</v>
      </c>
      <c r="Y28" s="48" t="s">
        <v>114</v>
      </c>
      <c r="Z28" s="49">
        <f>COUNTIFS($C$5:$C$65,"M",$P$5:$P$65,"Si")</f>
        <v>2</v>
      </c>
      <c r="AA28" s="128" t="s">
        <v>117</v>
      </c>
      <c r="AB28" s="19" t="s">
        <v>114</v>
      </c>
      <c r="AC28" s="65">
        <f>COUNTIFS($C$5:$C$65,"M",$P$5:$P$65,"No")</f>
        <v>16</v>
      </c>
      <c r="AD28" s="128" t="s">
        <v>117</v>
      </c>
      <c r="AE28" s="19" t="s">
        <v>4</v>
      </c>
      <c r="AF28" s="19">
        <f>COUNTIFS($D$5:$D$65,"1",$P$5:$P$65,"No")</f>
        <v>5</v>
      </c>
      <c r="AG28" s="19" t="s">
        <v>7</v>
      </c>
      <c r="AH28" s="19">
        <f>COUNTIFS($G$5:$G$65,"1",$P$5:$P$65,"No")</f>
        <v>5</v>
      </c>
      <c r="AI28" s="19" t="s">
        <v>29</v>
      </c>
      <c r="AJ28" s="66">
        <f>COUNTIFS($I$5:$I$65,"Blanco",$P$5:$P$65,"No")</f>
        <v>5</v>
      </c>
      <c r="AK28" s="50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x14ac:dyDescent="0.25">
      <c r="A29" s="3">
        <v>25</v>
      </c>
      <c r="B29" s="29">
        <v>42934</v>
      </c>
      <c r="C29" s="28" t="s">
        <v>30</v>
      </c>
      <c r="D29" s="28"/>
      <c r="E29" s="28">
        <v>1</v>
      </c>
      <c r="F29" s="28"/>
      <c r="G29" s="28"/>
      <c r="H29" s="28"/>
      <c r="I29" s="28"/>
      <c r="J29" s="24" t="s">
        <v>59</v>
      </c>
      <c r="K29" s="28" t="s">
        <v>60</v>
      </c>
      <c r="L29" s="28" t="s">
        <v>20</v>
      </c>
      <c r="M29" s="28" t="s">
        <v>20</v>
      </c>
      <c r="N29" s="28" t="s">
        <v>20</v>
      </c>
      <c r="O29" s="28" t="s">
        <v>20</v>
      </c>
      <c r="P29" s="28" t="s">
        <v>20</v>
      </c>
      <c r="Q29" s="28" t="s">
        <v>26</v>
      </c>
      <c r="R29" s="28" t="s">
        <v>20</v>
      </c>
      <c r="S29" s="28" t="s">
        <v>20</v>
      </c>
      <c r="U29" s="109"/>
      <c r="V29" s="9" t="s">
        <v>25</v>
      </c>
      <c r="W29" s="15">
        <f>+COUNTIF(P5:P40,"No")</f>
        <v>31</v>
      </c>
      <c r="X29" s="126"/>
      <c r="Y29" s="6" t="s">
        <v>115</v>
      </c>
      <c r="Z29" s="51">
        <f>COUNTIFS($C$5:$C$65,"F",$P$5:$P$65,"Si")</f>
        <v>2</v>
      </c>
      <c r="AA29" s="129"/>
      <c r="AB29" s="35" t="s">
        <v>115</v>
      </c>
      <c r="AC29" s="67">
        <f>COUNTIFS($C$5:$C$65,"F",$P$5:$P$65,"NO")</f>
        <v>14</v>
      </c>
      <c r="AD29" s="129"/>
      <c r="AE29" s="35" t="s">
        <v>5</v>
      </c>
      <c r="AF29" s="35">
        <f>COUNTIFS($E$5:$E$65,"1",$P$5:$P$65,"No")</f>
        <v>1</v>
      </c>
      <c r="AG29" s="9" t="s">
        <v>8</v>
      </c>
      <c r="AH29" s="35">
        <f>COUNTIFS($H$5:$H$65,"1",$P$5:$P$65,"No")</f>
        <v>4</v>
      </c>
      <c r="AI29" s="35"/>
      <c r="AJ29" s="68"/>
      <c r="AK29" s="50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5.75" thickBot="1" x14ac:dyDescent="0.3">
      <c r="A30" s="3">
        <v>26</v>
      </c>
      <c r="B30" s="29">
        <v>42927</v>
      </c>
      <c r="C30" s="28" t="s">
        <v>30</v>
      </c>
      <c r="D30" s="28"/>
      <c r="E30" s="28"/>
      <c r="F30" s="28"/>
      <c r="G30" s="28"/>
      <c r="H30" s="28">
        <v>1</v>
      </c>
      <c r="I30" s="28"/>
      <c r="J30" s="24" t="s">
        <v>59</v>
      </c>
      <c r="K30" s="28" t="s">
        <v>61</v>
      </c>
      <c r="L30" s="28" t="s">
        <v>25</v>
      </c>
      <c r="M30" s="28" t="s">
        <v>25</v>
      </c>
      <c r="N30" s="28" t="s">
        <v>25</v>
      </c>
      <c r="O30" s="28" t="s">
        <v>25</v>
      </c>
      <c r="P30" s="28" t="s">
        <v>25</v>
      </c>
      <c r="Q30" s="28" t="s">
        <v>34</v>
      </c>
      <c r="R30" s="28" t="s">
        <v>25</v>
      </c>
      <c r="S30" s="28" t="s">
        <v>25</v>
      </c>
      <c r="U30" s="110"/>
      <c r="V30" s="13" t="s">
        <v>29</v>
      </c>
      <c r="W30" s="16">
        <f>+COUNTIF(P5:P40,"Blanco")</f>
        <v>0</v>
      </c>
      <c r="X30" s="154"/>
      <c r="Y30" s="34" t="s">
        <v>29</v>
      </c>
      <c r="Z30" s="53">
        <f>COUNTIFS($C$5:$C$65,"Blanco",$P$5:$P$65,"Si")</f>
        <v>0</v>
      </c>
      <c r="AA30" s="153"/>
      <c r="AB30" s="71" t="s">
        <v>29</v>
      </c>
      <c r="AC30" s="72">
        <f>COUNTIFS($C$5:$C$65,"Blanco",$P$5:$P$65,"No")</f>
        <v>1</v>
      </c>
      <c r="AD30" s="130"/>
      <c r="AE30" s="27" t="s">
        <v>6</v>
      </c>
      <c r="AF30" s="27">
        <f>COUNTIFS($F$5:$F$65,"1",$P$5:$P$65,"No")</f>
        <v>5</v>
      </c>
      <c r="AG30" s="71" t="s">
        <v>9</v>
      </c>
      <c r="AH30" s="71">
        <f>COUNTIFS($I$5:$I$65,"1",$P$5:$P$65,"No")</f>
        <v>6</v>
      </c>
      <c r="AI30" s="71"/>
      <c r="AJ30" s="73"/>
      <c r="AK30" s="5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</row>
    <row r="31" spans="1:50" x14ac:dyDescent="0.25">
      <c r="A31" s="3">
        <v>27</v>
      </c>
      <c r="B31" s="29">
        <v>42927</v>
      </c>
      <c r="C31" s="28" t="s">
        <v>30</v>
      </c>
      <c r="D31" s="28"/>
      <c r="E31" s="28"/>
      <c r="F31" s="28"/>
      <c r="G31" s="28"/>
      <c r="H31" s="28"/>
      <c r="I31" s="28">
        <v>1</v>
      </c>
      <c r="J31" s="24" t="s">
        <v>59</v>
      </c>
      <c r="K31" s="28" t="s">
        <v>61</v>
      </c>
      <c r="L31" s="28" t="s">
        <v>25</v>
      </c>
      <c r="M31" s="28" t="s">
        <v>25</v>
      </c>
      <c r="N31" s="28" t="s">
        <v>25</v>
      </c>
      <c r="O31" s="28" t="s">
        <v>25</v>
      </c>
      <c r="P31" s="28" t="s">
        <v>25</v>
      </c>
      <c r="Q31" s="28" t="s">
        <v>34</v>
      </c>
      <c r="R31" s="28" t="s">
        <v>25</v>
      </c>
      <c r="S31" s="28" t="s">
        <v>25</v>
      </c>
      <c r="U31" s="137" t="s">
        <v>41</v>
      </c>
      <c r="V31" s="12" t="s">
        <v>27</v>
      </c>
      <c r="W31" s="14">
        <f>+COUNTIF(Q5:Q40,"Elevada")</f>
        <v>22</v>
      </c>
      <c r="X31" s="125" t="s">
        <v>116</v>
      </c>
      <c r="Y31" s="48" t="s">
        <v>114</v>
      </c>
      <c r="Z31" s="49">
        <f>COUNTIFS($C$5:$C$65,"M",$Q$5:$Q$65,"Elevada")</f>
        <v>8</v>
      </c>
      <c r="AA31" s="125" t="s">
        <v>119</v>
      </c>
      <c r="AB31" s="48" t="s">
        <v>114</v>
      </c>
      <c r="AC31" s="49">
        <f>COUNTIFS($C$5:$C$65,"M",$Q$5:$Q$65,"Alguna")</f>
        <v>2</v>
      </c>
      <c r="AD31" s="125" t="s">
        <v>120</v>
      </c>
      <c r="AE31" s="48" t="s">
        <v>114</v>
      </c>
      <c r="AF31" s="49">
        <f>COUNTIFS($C$5:$C$65,"M",$Q$5:$Q$65,"Poca")</f>
        <v>3</v>
      </c>
      <c r="AG31" s="125" t="s">
        <v>121</v>
      </c>
      <c r="AH31" s="48" t="s">
        <v>114</v>
      </c>
      <c r="AI31" s="55">
        <f>COUNTIFS($C$5:$C$65,"M",$Q$5:$Q$65,"Ninguna")</f>
        <v>5</v>
      </c>
      <c r="AJ31" s="55"/>
      <c r="AK31" s="125" t="s">
        <v>122</v>
      </c>
      <c r="AL31" s="56" t="s">
        <v>4</v>
      </c>
      <c r="AM31" s="48">
        <f>COUNTIFS($D$5:$D$65,"1",$Q$5:$Q$65,"Elevada")</f>
        <v>2</v>
      </c>
      <c r="AN31" s="48" t="s">
        <v>7</v>
      </c>
      <c r="AO31" s="48">
        <f>COUNTIFS($G$5:$G$65,"1",$Q$5:$Q$65,"Elevada")</f>
        <v>5</v>
      </c>
      <c r="AP31" s="48" t="s">
        <v>29</v>
      </c>
      <c r="AQ31" s="49">
        <f>COUNTIFS($I$5:$I$65,"Blanco",$Q$5:$Q$65,"Elevada")</f>
        <v>1</v>
      </c>
      <c r="AR31" s="125" t="s">
        <v>119</v>
      </c>
      <c r="AS31" s="48" t="s">
        <v>4</v>
      </c>
      <c r="AT31" s="48">
        <f>COUNTIFS($D$5:$D$65,"1",$Q$5:$Q$65,"Alguna")</f>
        <v>1</v>
      </c>
      <c r="AU31" s="48" t="s">
        <v>7</v>
      </c>
      <c r="AV31" s="48">
        <f>COUNTIFS($G$5:$G$65,"1",$Q$5:$Q$65,"Alguna")</f>
        <v>0</v>
      </c>
      <c r="AW31" s="48" t="s">
        <v>29</v>
      </c>
      <c r="AX31" s="49">
        <f>COUNTIFS($I$5:$I$65,"Blanco",$Q$5:$Q$65,"Alguna")</f>
        <v>0</v>
      </c>
    </row>
    <row r="32" spans="1:50" x14ac:dyDescent="0.25">
      <c r="A32" s="3">
        <v>28</v>
      </c>
      <c r="B32" s="29">
        <v>42927</v>
      </c>
      <c r="C32" s="28" t="s">
        <v>30</v>
      </c>
      <c r="D32" s="28"/>
      <c r="E32" s="28"/>
      <c r="F32" s="28"/>
      <c r="G32" s="28"/>
      <c r="H32" s="28"/>
      <c r="I32" s="28">
        <v>1</v>
      </c>
      <c r="J32" s="24" t="s">
        <v>59</v>
      </c>
      <c r="K32" s="28" t="s">
        <v>61</v>
      </c>
      <c r="L32" s="28" t="s">
        <v>20</v>
      </c>
      <c r="M32" s="28" t="s">
        <v>20</v>
      </c>
      <c r="N32" s="28" t="s">
        <v>25</v>
      </c>
      <c r="O32" s="28" t="s">
        <v>25</v>
      </c>
      <c r="P32" s="28" t="s">
        <v>25</v>
      </c>
      <c r="Q32" s="28" t="s">
        <v>28</v>
      </c>
      <c r="R32" s="28" t="s">
        <v>20</v>
      </c>
      <c r="S32" s="28" t="s">
        <v>20</v>
      </c>
      <c r="U32" s="109"/>
      <c r="V32" s="9" t="s">
        <v>28</v>
      </c>
      <c r="W32" s="15">
        <f>+COUNTIF(Q5:Q40,"Alguna")</f>
        <v>2</v>
      </c>
      <c r="X32" s="126"/>
      <c r="Y32" s="6" t="s">
        <v>115</v>
      </c>
      <c r="Z32" s="51">
        <f>COUNTIFS($C$5:$C$65,"F",$Q$5:$Q$65,"Elevada")</f>
        <v>14</v>
      </c>
      <c r="AA32" s="126"/>
      <c r="AB32" s="6" t="s">
        <v>115</v>
      </c>
      <c r="AC32" s="51">
        <f>COUNTIFS($C$5:$C$65,"F",$Q$5:$Q$65,"Alguna")</f>
        <v>0</v>
      </c>
      <c r="AD32" s="126"/>
      <c r="AE32" s="6" t="s">
        <v>115</v>
      </c>
      <c r="AF32" s="51">
        <f>COUNTIFS($C$5:$C$65,"F",$Q$5:$Q$65,"Poca")</f>
        <v>0</v>
      </c>
      <c r="AG32" s="126"/>
      <c r="AH32" s="6" t="s">
        <v>115</v>
      </c>
      <c r="AI32" s="57">
        <f>COUNTIFS($C$5:$C$65,"F",$Q$5:$Q$65,"Ninguna")</f>
        <v>2</v>
      </c>
      <c r="AJ32" s="57"/>
      <c r="AK32" s="126"/>
      <c r="AL32" s="50" t="s">
        <v>5</v>
      </c>
      <c r="AM32" s="6">
        <f>COUNTIFS($E$5:$E$65,"1",$Q$5:$Q$65,"Elevada")</f>
        <v>1</v>
      </c>
      <c r="AN32" s="39" t="s">
        <v>8</v>
      </c>
      <c r="AO32" s="6">
        <f>COUNTIFS($H$5:$H$65,"1",$Q$5:$Q$65,"Elevada")</f>
        <v>4</v>
      </c>
      <c r="AP32" s="6"/>
      <c r="AQ32" s="51"/>
      <c r="AR32" s="126"/>
      <c r="AS32" s="6" t="s">
        <v>5</v>
      </c>
      <c r="AT32" s="6">
        <f>COUNTIFS($E$5:$E$65,"1",$Q$5:$Q$65,"Alguna")</f>
        <v>0</v>
      </c>
      <c r="AU32" s="39" t="s">
        <v>8</v>
      </c>
      <c r="AV32" s="6">
        <f>COUNTIFS($H$5:$H$65,"1",$Q$5:$Q$65,"Alguna")</f>
        <v>0</v>
      </c>
      <c r="AW32" s="6"/>
      <c r="AX32" s="51"/>
    </row>
    <row r="33" spans="1:50" ht="15.75" thickBot="1" x14ac:dyDescent="0.3">
      <c r="A33" s="3">
        <v>29</v>
      </c>
      <c r="B33" s="29">
        <v>42927</v>
      </c>
      <c r="C33" s="28" t="s">
        <v>23</v>
      </c>
      <c r="D33" s="28"/>
      <c r="E33" s="28"/>
      <c r="F33" s="28"/>
      <c r="G33" s="28"/>
      <c r="H33" s="28"/>
      <c r="I33" s="28">
        <v>1</v>
      </c>
      <c r="J33" s="24" t="s">
        <v>59</v>
      </c>
      <c r="K33" s="28" t="s">
        <v>61</v>
      </c>
      <c r="L33" s="28" t="s">
        <v>20</v>
      </c>
      <c r="M33" s="28" t="s">
        <v>20</v>
      </c>
      <c r="N33" s="28" t="s">
        <v>25</v>
      </c>
      <c r="O33" s="28" t="s">
        <v>25</v>
      </c>
      <c r="P33" s="28" t="s">
        <v>25</v>
      </c>
      <c r="Q33" s="28" t="s">
        <v>34</v>
      </c>
      <c r="R33" s="28" t="s">
        <v>25</v>
      </c>
      <c r="S33" s="28" t="s">
        <v>25</v>
      </c>
      <c r="U33" s="109"/>
      <c r="V33" s="9" t="s">
        <v>26</v>
      </c>
      <c r="W33" s="15">
        <f>+COUNTIF(Q5:Q40,"Poca")</f>
        <v>4</v>
      </c>
      <c r="X33" s="127"/>
      <c r="Y33" s="26" t="s">
        <v>29</v>
      </c>
      <c r="Z33" s="52">
        <f>COUNTIFS($C$5:$C$65,"Blanco",Q5:Q65,"Elevada")</f>
        <v>0</v>
      </c>
      <c r="AA33" s="127"/>
      <c r="AB33" s="26" t="s">
        <v>29</v>
      </c>
      <c r="AC33" s="52">
        <f>COUNTIFS($C$5:$C$65,"Blanco",$Q$5:$Q$65,"Alguna")</f>
        <v>0</v>
      </c>
      <c r="AD33" s="127"/>
      <c r="AE33" s="26" t="s">
        <v>29</v>
      </c>
      <c r="AF33" s="52">
        <f>COUNTIFS($C$5:$C$65,"Blanco",$Q$5:$Q$65,"Poca")</f>
        <v>1</v>
      </c>
      <c r="AG33" s="127"/>
      <c r="AH33" s="26" t="s">
        <v>29</v>
      </c>
      <c r="AI33" s="58">
        <f>COUNTIFS($C$5:$C$65,"Blanco",$Q$5:$Q$65,"Ninguna")</f>
        <v>0</v>
      </c>
      <c r="AJ33" s="58"/>
      <c r="AK33" s="127"/>
      <c r="AL33" s="59" t="s">
        <v>6</v>
      </c>
      <c r="AM33" s="26">
        <f>COUNTIFS($F$5:$F$65,"1",$Q$5:$Q$65,"Elevada")</f>
        <v>5</v>
      </c>
      <c r="AN33" s="26" t="s">
        <v>9</v>
      </c>
      <c r="AO33" s="26">
        <f>COUNTIFS(I5:$I$65,"1",$Q$5:$Q$65,"Elevada")</f>
        <v>4</v>
      </c>
      <c r="AP33" s="26"/>
      <c r="AQ33" s="52"/>
      <c r="AR33" s="127"/>
      <c r="AS33" s="26" t="s">
        <v>6</v>
      </c>
      <c r="AT33" s="26">
        <f>COUNTIFS($F$5:$F$65,"1",$Q$5:$Q$65,"Alguna")</f>
        <v>0</v>
      </c>
      <c r="AU33" s="26" t="s">
        <v>9</v>
      </c>
      <c r="AV33" s="26">
        <f>COUNTIFS($I$5:$I$65,"1",$Q$5:$Q$65,"Alguna")</f>
        <v>1</v>
      </c>
      <c r="AW33" s="26"/>
      <c r="AX33" s="52"/>
    </row>
    <row r="34" spans="1:50" ht="15.75" thickBot="1" x14ac:dyDescent="0.3">
      <c r="A34" s="3">
        <v>30</v>
      </c>
      <c r="B34" s="29">
        <v>42927</v>
      </c>
      <c r="C34" s="28" t="s">
        <v>30</v>
      </c>
      <c r="D34" s="28"/>
      <c r="E34" s="28"/>
      <c r="F34" s="28">
        <v>1</v>
      </c>
      <c r="G34" s="28"/>
      <c r="H34" s="28"/>
      <c r="I34" s="28"/>
      <c r="J34" s="24" t="s">
        <v>59</v>
      </c>
      <c r="K34" s="28" t="s">
        <v>61</v>
      </c>
      <c r="L34" s="28" t="s">
        <v>25</v>
      </c>
      <c r="M34" s="28" t="s">
        <v>25</v>
      </c>
      <c r="N34" s="28" t="s">
        <v>25</v>
      </c>
      <c r="O34" s="28" t="s">
        <v>25</v>
      </c>
      <c r="P34" s="28" t="s">
        <v>25</v>
      </c>
      <c r="Q34" s="28" t="s">
        <v>27</v>
      </c>
      <c r="R34" s="28" t="s">
        <v>20</v>
      </c>
      <c r="S34" s="28" t="s">
        <v>20</v>
      </c>
      <c r="U34" s="110"/>
      <c r="V34" s="13" t="s">
        <v>34</v>
      </c>
      <c r="W34" s="16">
        <f>+COUNTIF(Q5:Q40,"Ninguna")</f>
        <v>7</v>
      </c>
      <c r="X34" s="47"/>
      <c r="Y34" s="60"/>
      <c r="Z34" s="62"/>
      <c r="AA34" s="63"/>
      <c r="AB34" s="60"/>
      <c r="AC34" s="64"/>
      <c r="AD34" s="60"/>
      <c r="AE34" s="60"/>
      <c r="AG34" s="60"/>
      <c r="AH34" s="60"/>
      <c r="AI34" s="60"/>
      <c r="AJ34" s="60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</row>
    <row r="35" spans="1:50" x14ac:dyDescent="0.25">
      <c r="A35" s="3">
        <v>31</v>
      </c>
      <c r="B35" s="29">
        <v>42927</v>
      </c>
      <c r="C35" s="28" t="s">
        <v>23</v>
      </c>
      <c r="D35" s="28"/>
      <c r="E35" s="28"/>
      <c r="F35" s="28"/>
      <c r="G35" s="28">
        <v>1</v>
      </c>
      <c r="H35" s="28"/>
      <c r="I35" s="28"/>
      <c r="J35" s="24" t="s">
        <v>59</v>
      </c>
      <c r="K35" s="28" t="s">
        <v>61</v>
      </c>
      <c r="L35" s="28" t="s">
        <v>25</v>
      </c>
      <c r="M35" s="28" t="s">
        <v>25</v>
      </c>
      <c r="N35" s="28" t="s">
        <v>25</v>
      </c>
      <c r="O35" s="28" t="s">
        <v>25</v>
      </c>
      <c r="P35" s="28" t="s">
        <v>25</v>
      </c>
      <c r="Q35" s="28" t="s">
        <v>27</v>
      </c>
      <c r="R35" s="28" t="s">
        <v>20</v>
      </c>
      <c r="S35" s="28" t="s">
        <v>20</v>
      </c>
      <c r="U35" s="137" t="s">
        <v>42</v>
      </c>
      <c r="V35" s="12" t="s">
        <v>20</v>
      </c>
      <c r="W35" s="14">
        <f>+COUNTIF(R5:R40,"Si")</f>
        <v>17</v>
      </c>
      <c r="X35" s="125" t="s">
        <v>118</v>
      </c>
      <c r="Y35" s="48" t="s">
        <v>114</v>
      </c>
      <c r="Z35" s="49">
        <f>COUNTIFS($C$5:$C$65,"M",$R$5:$R$65,"Si")</f>
        <v>10</v>
      </c>
      <c r="AA35" s="125" t="s">
        <v>117</v>
      </c>
      <c r="AB35" s="48" t="s">
        <v>114</v>
      </c>
      <c r="AC35" s="55">
        <f>COUNTIFS($C$5:$C$65,"M",$R$5:$R$65,"No")</f>
        <v>8</v>
      </c>
      <c r="AD35" s="125" t="s">
        <v>118</v>
      </c>
      <c r="AE35" s="48" t="s">
        <v>4</v>
      </c>
      <c r="AF35" s="48">
        <f>COUNTIFS($D$5:$D$65,"1",$R$5:$R$65,"Si")</f>
        <v>0</v>
      </c>
      <c r="AG35" s="48" t="s">
        <v>7</v>
      </c>
      <c r="AH35" s="48">
        <f>COUNTIFS($G$5:$G$65,"1",$R$5:$R$65,"Si")</f>
        <v>4</v>
      </c>
      <c r="AI35" s="48" t="s">
        <v>29</v>
      </c>
      <c r="AJ35" s="49">
        <f>COUNTIFS($I$5:$I$65,"Blanco",$R$5:$R$65,"Si")</f>
        <v>2</v>
      </c>
      <c r="AK35" s="50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x14ac:dyDescent="0.25">
      <c r="A36" s="3">
        <v>32</v>
      </c>
      <c r="B36" s="29">
        <v>42927</v>
      </c>
      <c r="C36" s="28" t="s">
        <v>30</v>
      </c>
      <c r="D36" s="28"/>
      <c r="E36" s="28"/>
      <c r="F36" s="28"/>
      <c r="G36" s="28"/>
      <c r="H36" s="28">
        <v>1</v>
      </c>
      <c r="I36" s="28"/>
      <c r="J36" s="24" t="s">
        <v>59</v>
      </c>
      <c r="K36" s="28" t="s">
        <v>61</v>
      </c>
      <c r="L36" s="28" t="s">
        <v>20</v>
      </c>
      <c r="M36" s="28" t="s">
        <v>20</v>
      </c>
      <c r="N36" s="28" t="s">
        <v>20</v>
      </c>
      <c r="O36" s="28" t="s">
        <v>25</v>
      </c>
      <c r="P36" s="28" t="s">
        <v>25</v>
      </c>
      <c r="Q36" s="28" t="s">
        <v>27</v>
      </c>
      <c r="R36" s="28" t="s">
        <v>20</v>
      </c>
      <c r="S36" s="28" t="s">
        <v>20</v>
      </c>
      <c r="U36" s="109"/>
      <c r="V36" s="9" t="s">
        <v>25</v>
      </c>
      <c r="W36" s="15">
        <f>+COUNTIF(R5:R40,"No")</f>
        <v>18</v>
      </c>
      <c r="X36" s="126"/>
      <c r="Y36" s="6" t="s">
        <v>115</v>
      </c>
      <c r="Z36" s="51">
        <f>COUNTIFS($C$5:$C$65,"F",$R$5:$R$65,"Si")</f>
        <v>7</v>
      </c>
      <c r="AA36" s="126"/>
      <c r="AB36" s="6" t="s">
        <v>115</v>
      </c>
      <c r="AC36" s="57">
        <f>COUNTIFS($C$5:$C$65,"F",$R$5:$R$65,"No")</f>
        <v>9</v>
      </c>
      <c r="AD36" s="126"/>
      <c r="AE36" s="6" t="s">
        <v>5</v>
      </c>
      <c r="AF36" s="6">
        <f>COUNTIFS($E$5:$E$65,"1",$R$5:$R$65,"Si")</f>
        <v>1</v>
      </c>
      <c r="AG36" s="39" t="s">
        <v>8</v>
      </c>
      <c r="AH36" s="6">
        <f>COUNTIFS($H$5:$H$65,"1",$R$5:$R$65,"Si")</f>
        <v>4</v>
      </c>
      <c r="AI36" s="6"/>
      <c r="AJ36" s="51"/>
      <c r="AK36" s="50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15.75" thickBot="1" x14ac:dyDescent="0.3">
      <c r="A37" s="3">
        <v>33</v>
      </c>
      <c r="B37" s="29">
        <v>42927</v>
      </c>
      <c r="C37" s="28" t="s">
        <v>23</v>
      </c>
      <c r="D37" s="28"/>
      <c r="E37" s="28"/>
      <c r="F37" s="28"/>
      <c r="G37" s="28"/>
      <c r="H37" s="28"/>
      <c r="I37" s="28">
        <v>1</v>
      </c>
      <c r="J37" s="24" t="s">
        <v>59</v>
      </c>
      <c r="K37" s="28" t="s">
        <v>61</v>
      </c>
      <c r="L37" s="28" t="s">
        <v>25</v>
      </c>
      <c r="M37" s="28" t="s">
        <v>20</v>
      </c>
      <c r="N37" s="28" t="s">
        <v>25</v>
      </c>
      <c r="O37" s="28" t="s">
        <v>20</v>
      </c>
      <c r="P37" s="28" t="s">
        <v>25</v>
      </c>
      <c r="Q37" s="28" t="s">
        <v>27</v>
      </c>
      <c r="R37" s="28" t="s">
        <v>20</v>
      </c>
      <c r="S37" s="20" t="s">
        <v>29</v>
      </c>
      <c r="U37" s="110"/>
      <c r="V37" s="13" t="s">
        <v>29</v>
      </c>
      <c r="W37" s="16">
        <f>+COUNTIF(R5:R40,"Blanco")</f>
        <v>0</v>
      </c>
      <c r="X37" s="127"/>
      <c r="Y37" s="26" t="s">
        <v>29</v>
      </c>
      <c r="Z37" s="52">
        <f>COUNTIFS($C$5:$C$65,"Blanco",$R$5:$R$65,"Si")</f>
        <v>0</v>
      </c>
      <c r="AA37" s="127"/>
      <c r="AB37" s="26" t="s">
        <v>29</v>
      </c>
      <c r="AC37" s="58">
        <f>COUNTIFS($C$5:$C$65,"Blanco",$R$5:$R$65,"No")</f>
        <v>1</v>
      </c>
      <c r="AD37" s="127"/>
      <c r="AE37" s="26" t="s">
        <v>6</v>
      </c>
      <c r="AF37" s="26">
        <f>COUNTIFS($F$5:$F$65,"1",$R$5:$R$65,"Si")</f>
        <v>3</v>
      </c>
      <c r="AG37" s="26" t="s">
        <v>9</v>
      </c>
      <c r="AH37" s="26">
        <f>COUNTIFS($I$5:$I$65,"1",$R$5:$R$65,"Si")</f>
        <v>3</v>
      </c>
      <c r="AI37" s="26"/>
      <c r="AJ37" s="52"/>
      <c r="AK37" s="50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x14ac:dyDescent="0.25">
      <c r="A38" s="3">
        <v>34</v>
      </c>
      <c r="B38" s="29">
        <v>42927</v>
      </c>
      <c r="C38" s="28" t="s">
        <v>30</v>
      </c>
      <c r="D38" s="28"/>
      <c r="E38" s="28"/>
      <c r="F38" s="28"/>
      <c r="G38" s="28"/>
      <c r="H38" s="28">
        <v>1</v>
      </c>
      <c r="I38" s="28"/>
      <c r="J38" s="24" t="s">
        <v>59</v>
      </c>
      <c r="K38" s="28" t="s">
        <v>61</v>
      </c>
      <c r="L38" s="28" t="s">
        <v>25</v>
      </c>
      <c r="M38" s="28" t="s">
        <v>20</v>
      </c>
      <c r="N38" s="28" t="s">
        <v>25</v>
      </c>
      <c r="O38" s="28" t="s">
        <v>20</v>
      </c>
      <c r="P38" s="28" t="s">
        <v>25</v>
      </c>
      <c r="Q38" s="28" t="s">
        <v>27</v>
      </c>
      <c r="R38" s="28" t="s">
        <v>20</v>
      </c>
      <c r="S38" s="28" t="s">
        <v>20</v>
      </c>
      <c r="U38" s="137" t="s">
        <v>43</v>
      </c>
      <c r="V38" s="12" t="s">
        <v>20</v>
      </c>
      <c r="W38" s="14">
        <f>+COUNTIF(S5:S40,"Si")</f>
        <v>11</v>
      </c>
      <c r="X38" s="125" t="s">
        <v>118</v>
      </c>
      <c r="Y38" s="48" t="s">
        <v>114</v>
      </c>
      <c r="Z38" s="49">
        <f>COUNTIFS($C$5:$C$65,"M",$S$5:$S$65,"Si")</f>
        <v>7</v>
      </c>
      <c r="AA38" s="125" t="s">
        <v>117</v>
      </c>
      <c r="AB38" s="48" t="s">
        <v>114</v>
      </c>
      <c r="AC38" s="55">
        <f>COUNTIFS($C$5:$C$65,"M",$S$5:$S$65,"No")</f>
        <v>11</v>
      </c>
      <c r="AD38" s="125" t="s">
        <v>118</v>
      </c>
      <c r="AE38" s="48" t="s">
        <v>4</v>
      </c>
      <c r="AF38" s="48">
        <f>COUNTIFS($D$5:$D$65,"1",$S$5:$S$65,"Si")</f>
        <v>0</v>
      </c>
      <c r="AG38" s="48" t="s">
        <v>7</v>
      </c>
      <c r="AH38" s="48">
        <f>COUNTIFS($G$5:$G$65,"1",$S$5:$S$65,"Si")</f>
        <v>2</v>
      </c>
      <c r="AI38" s="48" t="s">
        <v>29</v>
      </c>
      <c r="AJ38" s="49">
        <f>COUNTIFS($I$5:$I$65,"Blanco",$S$5:$S$65,"Si")</f>
        <v>1</v>
      </c>
      <c r="AK38" s="50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x14ac:dyDescent="0.25">
      <c r="A39" s="3">
        <v>35</v>
      </c>
      <c r="B39" s="29">
        <v>42927</v>
      </c>
      <c r="C39" s="28" t="s">
        <v>23</v>
      </c>
      <c r="D39" s="28"/>
      <c r="E39" s="28"/>
      <c r="F39" s="28"/>
      <c r="G39" s="28"/>
      <c r="H39" s="28">
        <v>1</v>
      </c>
      <c r="I39" s="28"/>
      <c r="J39" s="24" t="s">
        <v>59</v>
      </c>
      <c r="K39" s="28" t="s">
        <v>61</v>
      </c>
      <c r="L39" s="28" t="s">
        <v>25</v>
      </c>
      <c r="M39" s="28" t="s">
        <v>20</v>
      </c>
      <c r="N39" s="28" t="s">
        <v>20</v>
      </c>
      <c r="O39" s="28" t="s">
        <v>20</v>
      </c>
      <c r="P39" s="28" t="s">
        <v>20</v>
      </c>
      <c r="Q39" s="28" t="s">
        <v>27</v>
      </c>
      <c r="R39" s="28" t="s">
        <v>20</v>
      </c>
      <c r="S39" s="28" t="s">
        <v>20</v>
      </c>
      <c r="U39" s="109"/>
      <c r="V39" s="9" t="s">
        <v>25</v>
      </c>
      <c r="W39" s="15">
        <f>+COUNTIF(S5:S40,"No")</f>
        <v>23</v>
      </c>
      <c r="X39" s="126"/>
      <c r="Y39" s="6" t="s">
        <v>115</v>
      </c>
      <c r="Z39" s="51">
        <f>COUNTIFS($C$5:$C$65,"F",$S$5:$S$65,"Si")</f>
        <v>4</v>
      </c>
      <c r="AA39" s="126"/>
      <c r="AB39" s="6" t="s">
        <v>115</v>
      </c>
      <c r="AC39" s="57">
        <f>COUNTIFS($C$5:$C$65,"F",$S$5:$S$65,"No")</f>
        <v>11</v>
      </c>
      <c r="AD39" s="126"/>
      <c r="AE39" s="6" t="s">
        <v>5</v>
      </c>
      <c r="AF39" s="6">
        <f>COUNTIFS($E$5:$E$65,"1",$S$6:$S$66,"Si")</f>
        <v>0</v>
      </c>
      <c r="AG39" s="39" t="s">
        <v>8</v>
      </c>
      <c r="AH39" s="6">
        <f>COUNTIFS($H$5:$H$65,"1",$S$5:$S$65,"Si")</f>
        <v>3</v>
      </c>
      <c r="AI39" s="6"/>
      <c r="AJ39" s="51"/>
      <c r="AK39" s="50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5.75" thickBot="1" x14ac:dyDescent="0.3">
      <c r="A40" s="3"/>
      <c r="B40" s="29"/>
      <c r="C40" s="31"/>
      <c r="D40" s="32"/>
      <c r="E40" s="32"/>
      <c r="F40" s="32"/>
      <c r="G40" s="32"/>
      <c r="H40" s="28"/>
      <c r="I40" s="32"/>
      <c r="J40" s="24"/>
      <c r="K40" s="28"/>
      <c r="L40" s="31"/>
      <c r="M40" s="31"/>
      <c r="N40" s="31"/>
      <c r="O40" s="31"/>
      <c r="P40" s="31"/>
      <c r="Q40" s="31"/>
      <c r="R40" s="31"/>
      <c r="S40" s="31"/>
      <c r="U40" s="110"/>
      <c r="V40" s="13" t="s">
        <v>29</v>
      </c>
      <c r="W40" s="16">
        <f>+COUNTIF(S5:S40,"Blanco")</f>
        <v>1</v>
      </c>
      <c r="X40" s="127"/>
      <c r="Y40" s="26" t="s">
        <v>29</v>
      </c>
      <c r="Z40" s="52">
        <f>COUNTIFS($C$5:$C$65,"Blanco",$S$5:$S$65,"Si")</f>
        <v>0</v>
      </c>
      <c r="AA40" s="127"/>
      <c r="AB40" s="26" t="s">
        <v>29</v>
      </c>
      <c r="AC40" s="58">
        <f>COUNTIFS($C$5:$C$65,"Blanco",$S$5:$S$65,"No")</f>
        <v>1</v>
      </c>
      <c r="AD40" s="127"/>
      <c r="AE40" s="26" t="s">
        <v>6</v>
      </c>
      <c r="AF40" s="26">
        <f>COUNTIFS($F$5:$F$65,"1",$S$5:$S$65,"Si")</f>
        <v>2</v>
      </c>
      <c r="AG40" s="26" t="s">
        <v>9</v>
      </c>
      <c r="AH40" s="26">
        <f>COUNTIFS($I$5:$I$65,"1",$S$5:$S$65,"Si")</f>
        <v>2</v>
      </c>
      <c r="AI40" s="26"/>
      <c r="AJ40" s="52"/>
      <c r="AK40" s="50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</sheetData>
  <mergeCells count="58">
    <mergeCell ref="X38:X40"/>
    <mergeCell ref="AA38:AA40"/>
    <mergeCell ref="AD38:AD40"/>
    <mergeCell ref="AG31:AG33"/>
    <mergeCell ref="AK31:AK33"/>
    <mergeCell ref="AR31:AR33"/>
    <mergeCell ref="X35:X37"/>
    <mergeCell ref="AA35:AA37"/>
    <mergeCell ref="AD35:AD37"/>
    <mergeCell ref="X28:X30"/>
    <mergeCell ref="AA28:AA30"/>
    <mergeCell ref="AD28:AD30"/>
    <mergeCell ref="X31:X33"/>
    <mergeCell ref="AA31:AA33"/>
    <mergeCell ref="AD31:AD33"/>
    <mergeCell ref="X22:X24"/>
    <mergeCell ref="AA22:AA24"/>
    <mergeCell ref="AD22:AD24"/>
    <mergeCell ref="X25:X27"/>
    <mergeCell ref="AA25:AA27"/>
    <mergeCell ref="AD25:AD27"/>
    <mergeCell ref="X16:X18"/>
    <mergeCell ref="AA16:AA18"/>
    <mergeCell ref="AD16:AD18"/>
    <mergeCell ref="X19:X21"/>
    <mergeCell ref="AA19:AA21"/>
    <mergeCell ref="AD19:AD21"/>
    <mergeCell ref="U31:U34"/>
    <mergeCell ref="U35:U37"/>
    <mergeCell ref="U38:U40"/>
    <mergeCell ref="U13:U15"/>
    <mergeCell ref="U16:U18"/>
    <mergeCell ref="U19:U21"/>
    <mergeCell ref="U22:U24"/>
    <mergeCell ref="U25:U27"/>
    <mergeCell ref="U28:U30"/>
    <mergeCell ref="U6:U12"/>
    <mergeCell ref="L3:L4"/>
    <mergeCell ref="M3:M4"/>
    <mergeCell ref="N3:N4"/>
    <mergeCell ref="O3:O4"/>
    <mergeCell ref="P3:P4"/>
    <mergeCell ref="Q3:Q4"/>
    <mergeCell ref="R3:R4"/>
    <mergeCell ref="S3:S4"/>
    <mergeCell ref="U3:V3"/>
    <mergeCell ref="U4:V4"/>
    <mergeCell ref="U5:V5"/>
    <mergeCell ref="A1:S1"/>
    <mergeCell ref="U1:W1"/>
    <mergeCell ref="A2:S2"/>
    <mergeCell ref="U2:V2"/>
    <mergeCell ref="A3:A4"/>
    <mergeCell ref="B3:B4"/>
    <mergeCell ref="C3:C4"/>
    <mergeCell ref="D3:I3"/>
    <mergeCell ref="J3:J4"/>
    <mergeCell ref="K3:K4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41"/>
  <sheetViews>
    <sheetView topLeftCell="V1" zoomScale="50" zoomScaleNormal="50" workbookViewId="0">
      <selection activeCell="AX31" sqref="AT31:AX33"/>
    </sheetView>
  </sheetViews>
  <sheetFormatPr baseColWidth="10" defaultRowHeight="15" x14ac:dyDescent="0.25"/>
  <cols>
    <col min="1" max="1" width="4.140625" style="1" bestFit="1" customWidth="1"/>
    <col min="2" max="2" width="17.42578125" customWidth="1"/>
    <col min="4" max="4" width="9.7109375" bestFit="1" customWidth="1"/>
    <col min="5" max="5" width="10.140625" bestFit="1" customWidth="1"/>
    <col min="6" max="6" width="9.7109375" bestFit="1" customWidth="1"/>
    <col min="7" max="7" width="10.140625" bestFit="1" customWidth="1"/>
    <col min="8" max="8" width="9.7109375" bestFit="1" customWidth="1"/>
    <col min="9" max="9" width="19.42578125" bestFit="1" customWidth="1"/>
    <col min="10" max="10" width="20.140625" bestFit="1" customWidth="1"/>
    <col min="11" max="11" width="16.85546875" customWidth="1"/>
    <col min="12" max="19" width="14.28515625" customWidth="1"/>
    <col min="21" max="21" width="48.42578125" style="7" customWidth="1"/>
    <col min="22" max="22" width="20.85546875" bestFit="1" customWidth="1"/>
    <col min="23" max="23" width="11.42578125" style="1"/>
  </cols>
  <sheetData>
    <row r="1" spans="1:50" ht="15.75" thickBot="1" x14ac:dyDescent="0.3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U1" s="144" t="s">
        <v>46</v>
      </c>
      <c r="V1" s="145"/>
      <c r="W1" s="148"/>
    </row>
    <row r="2" spans="1:50" ht="15.75" thickBot="1" x14ac:dyDescent="0.3">
      <c r="A2" s="123" t="s">
        <v>21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U2" s="144" t="s">
        <v>44</v>
      </c>
      <c r="V2" s="145"/>
      <c r="W2" s="17">
        <f>+COUNTIF(C5:C39,"M")</f>
        <v>15</v>
      </c>
    </row>
    <row r="3" spans="1:50" ht="15.75" customHeight="1" thickBot="1" x14ac:dyDescent="0.3">
      <c r="A3" s="149" t="s">
        <v>22</v>
      </c>
      <c r="B3" s="151" t="s">
        <v>2</v>
      </c>
      <c r="C3" s="149" t="s">
        <v>1</v>
      </c>
      <c r="D3" s="123" t="s">
        <v>3</v>
      </c>
      <c r="E3" s="123"/>
      <c r="F3" s="123"/>
      <c r="G3" s="123"/>
      <c r="H3" s="123"/>
      <c r="I3" s="123"/>
      <c r="J3" s="149" t="s">
        <v>11</v>
      </c>
      <c r="K3" s="149" t="s">
        <v>10</v>
      </c>
      <c r="L3" s="142" t="s">
        <v>12</v>
      </c>
      <c r="M3" s="142" t="s">
        <v>13</v>
      </c>
      <c r="N3" s="142" t="s">
        <v>14</v>
      </c>
      <c r="O3" s="142" t="s">
        <v>15</v>
      </c>
      <c r="P3" s="142" t="s">
        <v>16</v>
      </c>
      <c r="Q3" s="142" t="s">
        <v>17</v>
      </c>
      <c r="R3" s="142" t="s">
        <v>18</v>
      </c>
      <c r="S3" s="142" t="s">
        <v>19</v>
      </c>
      <c r="U3" s="144" t="s">
        <v>45</v>
      </c>
      <c r="V3" s="145"/>
      <c r="W3" s="17">
        <f>+COUNTIF(C5:C39,"F")</f>
        <v>18</v>
      </c>
    </row>
    <row r="4" spans="1:50" ht="15.75" customHeight="1" thickBot="1" x14ac:dyDescent="0.3">
      <c r="A4" s="150"/>
      <c r="B4" s="152"/>
      <c r="C4" s="150"/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150"/>
      <c r="K4" s="150"/>
      <c r="L4" s="143"/>
      <c r="M4" s="143"/>
      <c r="N4" s="143"/>
      <c r="O4" s="143"/>
      <c r="P4" s="143"/>
      <c r="Q4" s="143"/>
      <c r="R4" s="143"/>
      <c r="S4" s="143"/>
      <c r="U4" s="146" t="s">
        <v>29</v>
      </c>
      <c r="V4" s="147"/>
      <c r="W4" s="17">
        <f>+COUNTIF(C5:C39,"Blanco")</f>
        <v>2</v>
      </c>
    </row>
    <row r="5" spans="1:50" ht="15.75" thickBot="1" x14ac:dyDescent="0.3">
      <c r="A5" s="3">
        <v>1</v>
      </c>
      <c r="B5" s="5">
        <v>42929</v>
      </c>
      <c r="C5" s="6" t="s">
        <v>23</v>
      </c>
      <c r="D5" s="6"/>
      <c r="E5" s="6"/>
      <c r="F5" s="6"/>
      <c r="G5" s="6"/>
      <c r="H5" s="6">
        <v>1</v>
      </c>
      <c r="I5" s="6"/>
      <c r="J5" s="6" t="s">
        <v>48</v>
      </c>
      <c r="K5" s="6" t="s">
        <v>48</v>
      </c>
      <c r="L5" s="6" t="s">
        <v>25</v>
      </c>
      <c r="M5" s="6" t="s">
        <v>25</v>
      </c>
      <c r="N5" s="6" t="s">
        <v>25</v>
      </c>
      <c r="O5" s="6" t="s">
        <v>25</v>
      </c>
      <c r="P5" s="6" t="s">
        <v>25</v>
      </c>
      <c r="Q5" s="6" t="s">
        <v>34</v>
      </c>
      <c r="R5" s="6" t="s">
        <v>25</v>
      </c>
      <c r="S5" s="6" t="s">
        <v>25</v>
      </c>
      <c r="U5" s="146" t="s">
        <v>47</v>
      </c>
      <c r="V5" s="147"/>
      <c r="W5" s="18">
        <f>SUM(W2:W4)</f>
        <v>35</v>
      </c>
    </row>
    <row r="6" spans="1:50" x14ac:dyDescent="0.25">
      <c r="A6" s="3">
        <v>2</v>
      </c>
      <c r="B6" s="5">
        <v>42929</v>
      </c>
      <c r="C6" s="6" t="s">
        <v>30</v>
      </c>
      <c r="D6" s="6"/>
      <c r="E6" s="6"/>
      <c r="F6" s="6"/>
      <c r="G6" s="6"/>
      <c r="H6" s="6">
        <v>1</v>
      </c>
      <c r="I6" s="6"/>
      <c r="J6" s="6" t="s">
        <v>48</v>
      </c>
      <c r="K6" s="6" t="s">
        <v>48</v>
      </c>
      <c r="L6" s="6" t="s">
        <v>25</v>
      </c>
      <c r="M6" s="6" t="s">
        <v>20</v>
      </c>
      <c r="N6" s="6" t="s">
        <v>25</v>
      </c>
      <c r="O6" s="6" t="s">
        <v>25</v>
      </c>
      <c r="P6" s="6" t="s">
        <v>25</v>
      </c>
      <c r="Q6" s="6" t="s">
        <v>34</v>
      </c>
      <c r="R6" s="6" t="s">
        <v>25</v>
      </c>
      <c r="S6" s="6" t="s">
        <v>25</v>
      </c>
      <c r="U6" s="140" t="s">
        <v>3</v>
      </c>
      <c r="V6" s="11" t="s">
        <v>4</v>
      </c>
      <c r="W6" s="14">
        <f>+COUNTIF(D4:D39,"1")</f>
        <v>4</v>
      </c>
    </row>
    <row r="7" spans="1:50" x14ac:dyDescent="0.25">
      <c r="A7" s="3">
        <v>3</v>
      </c>
      <c r="B7" s="5">
        <v>42929</v>
      </c>
      <c r="C7" s="6" t="s">
        <v>23</v>
      </c>
      <c r="D7" s="6"/>
      <c r="E7" s="6">
        <v>1</v>
      </c>
      <c r="F7" s="6"/>
      <c r="G7" s="6"/>
      <c r="H7" s="6"/>
      <c r="I7" s="6"/>
      <c r="J7" s="6" t="s">
        <v>48</v>
      </c>
      <c r="K7" s="6" t="s">
        <v>48</v>
      </c>
      <c r="L7" s="6" t="s">
        <v>25</v>
      </c>
      <c r="M7" s="6" t="s">
        <v>25</v>
      </c>
      <c r="N7" s="6" t="s">
        <v>25</v>
      </c>
      <c r="O7" s="6" t="s">
        <v>25</v>
      </c>
      <c r="P7" s="6" t="s">
        <v>25</v>
      </c>
      <c r="Q7" s="6" t="s">
        <v>34</v>
      </c>
      <c r="R7" s="6" t="s">
        <v>25</v>
      </c>
      <c r="S7" s="6" t="s">
        <v>25</v>
      </c>
      <c r="U7" s="141"/>
      <c r="V7" s="8" t="s">
        <v>5</v>
      </c>
      <c r="W7" s="15">
        <f>+COUNTIF(E5:E39,"1")</f>
        <v>8</v>
      </c>
    </row>
    <row r="8" spans="1:50" x14ac:dyDescent="0.25">
      <c r="A8" s="3">
        <v>4</v>
      </c>
      <c r="B8" s="5">
        <v>42929</v>
      </c>
      <c r="C8" s="6" t="s">
        <v>23</v>
      </c>
      <c r="D8" s="6"/>
      <c r="E8" s="6">
        <v>1</v>
      </c>
      <c r="F8" s="6"/>
      <c r="G8" s="6"/>
      <c r="H8" s="6"/>
      <c r="I8" s="6"/>
      <c r="J8" s="6" t="s">
        <v>48</v>
      </c>
      <c r="K8" s="6" t="s">
        <v>48</v>
      </c>
      <c r="L8" s="6" t="s">
        <v>25</v>
      </c>
      <c r="M8" s="6" t="s">
        <v>25</v>
      </c>
      <c r="N8" s="6" t="s">
        <v>25</v>
      </c>
      <c r="O8" s="6" t="s">
        <v>25</v>
      </c>
      <c r="P8" s="6" t="s">
        <v>25</v>
      </c>
      <c r="Q8" s="6" t="s">
        <v>34</v>
      </c>
      <c r="R8" s="6" t="s">
        <v>25</v>
      </c>
      <c r="S8" s="6" t="s">
        <v>25</v>
      </c>
      <c r="U8" s="141"/>
      <c r="V8" s="8" t="s">
        <v>6</v>
      </c>
      <c r="W8" s="15">
        <f>+COUNTIF(F5:F39,"1")</f>
        <v>6</v>
      </c>
    </row>
    <row r="9" spans="1:50" x14ac:dyDescent="0.25">
      <c r="A9" s="3">
        <v>5</v>
      </c>
      <c r="B9" s="5">
        <v>42929</v>
      </c>
      <c r="C9" s="6" t="s">
        <v>23</v>
      </c>
      <c r="D9" s="6"/>
      <c r="E9" s="6"/>
      <c r="F9" s="6"/>
      <c r="G9" s="6"/>
      <c r="H9" s="6"/>
      <c r="I9" s="20" t="s">
        <v>29</v>
      </c>
      <c r="J9" s="6" t="s">
        <v>48</v>
      </c>
      <c r="K9" s="6" t="s">
        <v>48</v>
      </c>
      <c r="L9" s="6" t="s">
        <v>25</v>
      </c>
      <c r="M9" s="6" t="s">
        <v>20</v>
      </c>
      <c r="N9" s="6" t="s">
        <v>25</v>
      </c>
      <c r="O9" s="6" t="s">
        <v>25</v>
      </c>
      <c r="P9" s="6" t="s">
        <v>25</v>
      </c>
      <c r="Q9" s="6" t="s">
        <v>34</v>
      </c>
      <c r="R9" s="6" t="s">
        <v>25</v>
      </c>
      <c r="S9" s="6" t="s">
        <v>20</v>
      </c>
      <c r="U9" s="141"/>
      <c r="V9" s="8" t="s">
        <v>7</v>
      </c>
      <c r="W9" s="15">
        <f>+COUNTIF(G5:G39,"1")</f>
        <v>6</v>
      </c>
    </row>
    <row r="10" spans="1:50" x14ac:dyDescent="0.25">
      <c r="A10" s="3">
        <v>6</v>
      </c>
      <c r="B10" s="5">
        <v>42927</v>
      </c>
      <c r="C10" s="20" t="s">
        <v>29</v>
      </c>
      <c r="D10" s="6">
        <v>1</v>
      </c>
      <c r="E10" s="6"/>
      <c r="F10" s="6"/>
      <c r="G10" s="6"/>
      <c r="H10" s="6"/>
      <c r="I10" s="6"/>
      <c r="J10" s="6" t="s">
        <v>48</v>
      </c>
      <c r="K10" s="6" t="s">
        <v>48</v>
      </c>
      <c r="L10" s="6" t="s">
        <v>20</v>
      </c>
      <c r="M10" s="6" t="s">
        <v>20</v>
      </c>
      <c r="N10" s="6" t="s">
        <v>25</v>
      </c>
      <c r="O10" s="6" t="s">
        <v>20</v>
      </c>
      <c r="P10" s="6" t="s">
        <v>20</v>
      </c>
      <c r="Q10" s="6" t="s">
        <v>28</v>
      </c>
      <c r="R10" s="6" t="s">
        <v>20</v>
      </c>
      <c r="S10" s="6" t="s">
        <v>20</v>
      </c>
      <c r="U10" s="141"/>
      <c r="V10" s="8" t="s">
        <v>8</v>
      </c>
      <c r="W10" s="15">
        <f>+COUNTIF(H5:H39,"1")</f>
        <v>5</v>
      </c>
    </row>
    <row r="11" spans="1:50" x14ac:dyDescent="0.25">
      <c r="A11" s="3">
        <v>7</v>
      </c>
      <c r="B11" s="5">
        <v>42927</v>
      </c>
      <c r="C11" s="6" t="s">
        <v>30</v>
      </c>
      <c r="D11" s="6"/>
      <c r="E11" s="6"/>
      <c r="F11" s="6"/>
      <c r="G11" s="6">
        <v>1</v>
      </c>
      <c r="H11" s="6"/>
      <c r="I11" s="6"/>
      <c r="J11" s="6" t="s">
        <v>48</v>
      </c>
      <c r="K11" s="6" t="s">
        <v>48</v>
      </c>
      <c r="L11" s="6" t="s">
        <v>25</v>
      </c>
      <c r="M11" s="6" t="s">
        <v>25</v>
      </c>
      <c r="N11" s="6" t="s">
        <v>25</v>
      </c>
      <c r="O11" s="6" t="s">
        <v>25</v>
      </c>
      <c r="P11" s="6" t="s">
        <v>25</v>
      </c>
      <c r="Q11" s="6" t="s">
        <v>34</v>
      </c>
      <c r="R11" s="6" t="s">
        <v>25</v>
      </c>
      <c r="S11" s="6" t="s">
        <v>25</v>
      </c>
      <c r="U11" s="141"/>
      <c r="V11" s="22" t="s">
        <v>9</v>
      </c>
      <c r="W11" s="23">
        <f>+COUNTIF(I5:I39,"1")</f>
        <v>5</v>
      </c>
    </row>
    <row r="12" spans="1:50" ht="15.75" thickBot="1" x14ac:dyDescent="0.3">
      <c r="A12" s="3">
        <v>8</v>
      </c>
      <c r="B12" s="5">
        <v>42927</v>
      </c>
      <c r="C12" s="6" t="s">
        <v>30</v>
      </c>
      <c r="D12" s="6"/>
      <c r="E12" s="6"/>
      <c r="F12" s="6"/>
      <c r="G12" s="6"/>
      <c r="H12" s="6"/>
      <c r="I12" s="6">
        <v>1</v>
      </c>
      <c r="J12" s="6" t="s">
        <v>48</v>
      </c>
      <c r="K12" s="6" t="s">
        <v>48</v>
      </c>
      <c r="L12" s="6" t="s">
        <v>20</v>
      </c>
      <c r="M12" s="6" t="s">
        <v>20</v>
      </c>
      <c r="N12" s="6" t="s">
        <v>20</v>
      </c>
      <c r="O12" s="6" t="s">
        <v>20</v>
      </c>
      <c r="P12" s="6" t="s">
        <v>20</v>
      </c>
      <c r="Q12" s="6" t="s">
        <v>26</v>
      </c>
      <c r="R12" s="6" t="s">
        <v>20</v>
      </c>
      <c r="S12" s="6" t="s">
        <v>20</v>
      </c>
      <c r="U12" s="155"/>
      <c r="V12" s="26" t="s">
        <v>29</v>
      </c>
      <c r="W12" s="16">
        <f>+COUNTIF(I5:I39,"Blanco")</f>
        <v>1</v>
      </c>
    </row>
    <row r="13" spans="1:50" x14ac:dyDescent="0.25">
      <c r="A13" s="3">
        <v>9</v>
      </c>
      <c r="B13" s="5">
        <v>42930</v>
      </c>
      <c r="C13" s="6" t="s">
        <v>23</v>
      </c>
      <c r="D13" s="6"/>
      <c r="E13" s="6"/>
      <c r="F13" s="6"/>
      <c r="G13" s="6"/>
      <c r="H13" s="6">
        <v>1</v>
      </c>
      <c r="I13" s="6"/>
      <c r="J13" s="6" t="s">
        <v>48</v>
      </c>
      <c r="K13" s="6" t="s">
        <v>50</v>
      </c>
      <c r="L13" s="6" t="s">
        <v>20</v>
      </c>
      <c r="M13" s="6" t="s">
        <v>20</v>
      </c>
      <c r="N13" s="6" t="s">
        <v>25</v>
      </c>
      <c r="O13" s="6" t="s">
        <v>25</v>
      </c>
      <c r="P13" s="6" t="s">
        <v>25</v>
      </c>
      <c r="Q13" s="6" t="s">
        <v>28</v>
      </c>
      <c r="R13" s="6" t="s">
        <v>25</v>
      </c>
      <c r="S13" s="6" t="s">
        <v>25</v>
      </c>
      <c r="U13" s="139" t="s">
        <v>35</v>
      </c>
      <c r="V13" s="24" t="s">
        <v>48</v>
      </c>
      <c r="W13" s="25">
        <f>+COUNTIF(K5:K39,"El Paraíso")</f>
        <v>8</v>
      </c>
    </row>
    <row r="14" spans="1:50" x14ac:dyDescent="0.25">
      <c r="A14" s="3">
        <v>10</v>
      </c>
      <c r="B14" s="5">
        <v>42927</v>
      </c>
      <c r="C14" s="6" t="s">
        <v>23</v>
      </c>
      <c r="D14" s="6"/>
      <c r="E14" s="6"/>
      <c r="F14" s="6">
        <v>1</v>
      </c>
      <c r="G14" s="6"/>
      <c r="H14" s="6"/>
      <c r="I14" s="6"/>
      <c r="J14" s="6" t="s">
        <v>48</v>
      </c>
      <c r="K14" s="6" t="s">
        <v>50</v>
      </c>
      <c r="L14" s="6" t="s">
        <v>20</v>
      </c>
      <c r="M14" s="6" t="s">
        <v>25</v>
      </c>
      <c r="N14" s="6" t="s">
        <v>25</v>
      </c>
      <c r="O14" s="6" t="s">
        <v>25</v>
      </c>
      <c r="P14" s="6" t="s">
        <v>25</v>
      </c>
      <c r="Q14" s="6" t="s">
        <v>34</v>
      </c>
      <c r="R14" s="6" t="s">
        <v>20</v>
      </c>
      <c r="S14" s="6" t="s">
        <v>20</v>
      </c>
      <c r="U14" s="109"/>
      <c r="V14" s="1" t="s">
        <v>50</v>
      </c>
      <c r="W14" s="15">
        <f>+COUNTIF(K5:K39,"Danlí")</f>
        <v>27</v>
      </c>
    </row>
    <row r="15" spans="1:50" ht="15.75" thickBot="1" x14ac:dyDescent="0.3">
      <c r="A15" s="3">
        <v>11</v>
      </c>
      <c r="B15" s="5">
        <v>42927</v>
      </c>
      <c r="C15" s="20" t="s">
        <v>29</v>
      </c>
      <c r="D15" s="6"/>
      <c r="E15" s="6"/>
      <c r="F15" s="6"/>
      <c r="G15" s="6"/>
      <c r="H15" s="6"/>
      <c r="I15" s="6">
        <v>1</v>
      </c>
      <c r="J15" s="6" t="s">
        <v>48</v>
      </c>
      <c r="K15" s="6" t="s">
        <v>50</v>
      </c>
      <c r="L15" s="6" t="s">
        <v>25</v>
      </c>
      <c r="M15" s="6" t="s">
        <v>25</v>
      </c>
      <c r="N15" s="6" t="s">
        <v>25</v>
      </c>
      <c r="O15" s="6" t="s">
        <v>25</v>
      </c>
      <c r="P15" s="6" t="s">
        <v>25</v>
      </c>
      <c r="Q15" s="6" t="s">
        <v>34</v>
      </c>
      <c r="R15" s="6" t="s">
        <v>25</v>
      </c>
      <c r="S15" s="6" t="s">
        <v>25</v>
      </c>
      <c r="U15" s="110"/>
      <c r="V15" s="13"/>
      <c r="W15" s="16">
        <f>+COUNTIF(K5:K39,"Jesus de Otoro")</f>
        <v>0</v>
      </c>
    </row>
    <row r="16" spans="1:50" ht="15" customHeight="1" x14ac:dyDescent="0.25">
      <c r="A16" s="3">
        <v>12</v>
      </c>
      <c r="B16" s="5">
        <v>42929</v>
      </c>
      <c r="C16" s="6" t="s">
        <v>30</v>
      </c>
      <c r="D16" s="6"/>
      <c r="E16" s="6"/>
      <c r="F16" s="6">
        <v>1</v>
      </c>
      <c r="G16" s="6"/>
      <c r="H16" s="6"/>
      <c r="I16" s="6"/>
      <c r="J16" s="6" t="s">
        <v>48</v>
      </c>
      <c r="K16" s="6" t="s">
        <v>50</v>
      </c>
      <c r="L16" s="6" t="s">
        <v>20</v>
      </c>
      <c r="M16" s="6" t="s">
        <v>20</v>
      </c>
      <c r="N16" s="6" t="s">
        <v>20</v>
      </c>
      <c r="O16" s="6" t="s">
        <v>20</v>
      </c>
      <c r="P16" s="6" t="s">
        <v>20</v>
      </c>
      <c r="Q16" s="6" t="s">
        <v>26</v>
      </c>
      <c r="R16" s="6" t="s">
        <v>20</v>
      </c>
      <c r="S16" s="6" t="s">
        <v>20</v>
      </c>
      <c r="U16" s="137" t="s">
        <v>36</v>
      </c>
      <c r="V16" s="12" t="s">
        <v>20</v>
      </c>
      <c r="W16" s="14">
        <f>+COUNTIF(L5:L39,"Si")</f>
        <v>18</v>
      </c>
      <c r="X16" s="125" t="s">
        <v>118</v>
      </c>
      <c r="Y16" s="48" t="s">
        <v>114</v>
      </c>
      <c r="Z16" s="49">
        <f>COUNTIFS($C$5:$C$65,"M",$L$5:$L$65,"Si")</f>
        <v>8</v>
      </c>
      <c r="AA16" s="125" t="s">
        <v>117</v>
      </c>
      <c r="AB16" s="48" t="s">
        <v>114</v>
      </c>
      <c r="AC16" s="55">
        <f>COUNTIFS($C$5:$C$65,"M",$L$5:$L$65,"No")</f>
        <v>7</v>
      </c>
      <c r="AD16" s="125" t="s">
        <v>118</v>
      </c>
      <c r="AE16" s="48" t="s">
        <v>4</v>
      </c>
      <c r="AF16" s="48">
        <f>COUNTIFS($D$5:$D$65,"1",$L$5:$L$65,"Si")</f>
        <v>4</v>
      </c>
      <c r="AG16" s="48" t="s">
        <v>7</v>
      </c>
      <c r="AH16" s="48">
        <f>COUNTIFS($G$5:$G$65,"1",$L$5:$L$65,"Si")</f>
        <v>2</v>
      </c>
      <c r="AI16" s="48" t="s">
        <v>29</v>
      </c>
      <c r="AJ16" s="49">
        <f>COUNTIFS($I$5:$I$65,"Blanco",$L$5:$L$65,"Si")</f>
        <v>0</v>
      </c>
      <c r="AK16" s="50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x14ac:dyDescent="0.25">
      <c r="A17" s="3">
        <v>13</v>
      </c>
      <c r="B17" s="5">
        <v>42929</v>
      </c>
      <c r="C17" s="6" t="s">
        <v>23</v>
      </c>
      <c r="D17" s="6"/>
      <c r="E17" s="6"/>
      <c r="F17" s="6"/>
      <c r="G17" s="6"/>
      <c r="H17" s="6">
        <v>1</v>
      </c>
      <c r="I17" s="6"/>
      <c r="J17" s="6" t="s">
        <v>48</v>
      </c>
      <c r="K17" s="6" t="s">
        <v>50</v>
      </c>
      <c r="L17" s="6" t="s">
        <v>25</v>
      </c>
      <c r="M17" s="6" t="s">
        <v>25</v>
      </c>
      <c r="N17" s="6" t="s">
        <v>25</v>
      </c>
      <c r="O17" s="6" t="s">
        <v>25</v>
      </c>
      <c r="P17" s="6" t="s">
        <v>25</v>
      </c>
      <c r="Q17" s="6" t="s">
        <v>34</v>
      </c>
      <c r="R17" s="6" t="s">
        <v>25</v>
      </c>
      <c r="S17" s="6" t="s">
        <v>25</v>
      </c>
      <c r="U17" s="109"/>
      <c r="V17" s="9" t="s">
        <v>25</v>
      </c>
      <c r="W17" s="15">
        <f>+COUNTIF(L5:L39,"No")</f>
        <v>17</v>
      </c>
      <c r="X17" s="126"/>
      <c r="Y17" s="6" t="s">
        <v>115</v>
      </c>
      <c r="Z17" s="51">
        <f>COUNTIFS($C$5:$C$65,"F",$L$5:$L$65,"Si")</f>
        <v>9</v>
      </c>
      <c r="AA17" s="126"/>
      <c r="AB17" s="6" t="s">
        <v>115</v>
      </c>
      <c r="AC17" s="57">
        <f>COUNTIFS($C$5:$C$65,"F",$L$5:$L$65,"No")</f>
        <v>9</v>
      </c>
      <c r="AD17" s="126"/>
      <c r="AE17" s="6" t="s">
        <v>5</v>
      </c>
      <c r="AF17" s="6">
        <f>COUNTIFS($E$5:$E$65,"1",$L$5:$L$65,"Si")</f>
        <v>4</v>
      </c>
      <c r="AG17" s="39" t="s">
        <v>8</v>
      </c>
      <c r="AH17" s="6">
        <f>COUNTIFS($H$5:$H$65,"1",$L$5:$L$65,"Si")</f>
        <v>1</v>
      </c>
      <c r="AI17" s="6"/>
      <c r="AJ17" s="51"/>
      <c r="AK17" s="50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5.75" thickBot="1" x14ac:dyDescent="0.3">
      <c r="A18" s="3">
        <v>14</v>
      </c>
      <c r="B18" s="5">
        <v>42929</v>
      </c>
      <c r="C18" s="6" t="s">
        <v>23</v>
      </c>
      <c r="D18" s="6">
        <v>1</v>
      </c>
      <c r="E18" s="6"/>
      <c r="F18" s="6"/>
      <c r="G18" s="6"/>
      <c r="H18" s="6"/>
      <c r="I18" s="6"/>
      <c r="J18" s="6" t="s">
        <v>48</v>
      </c>
      <c r="K18" s="6" t="s">
        <v>50</v>
      </c>
      <c r="L18" s="6" t="s">
        <v>20</v>
      </c>
      <c r="M18" s="6" t="s">
        <v>20</v>
      </c>
      <c r="N18" s="6" t="s">
        <v>20</v>
      </c>
      <c r="O18" s="6" t="s">
        <v>20</v>
      </c>
      <c r="P18" s="6" t="s">
        <v>25</v>
      </c>
      <c r="Q18" s="6" t="s">
        <v>26</v>
      </c>
      <c r="R18" s="6" t="s">
        <v>20</v>
      </c>
      <c r="S18" s="6" t="s">
        <v>20</v>
      </c>
      <c r="U18" s="110"/>
      <c r="V18" s="13" t="s">
        <v>29</v>
      </c>
      <c r="W18" s="16">
        <f>+COUNTIF(L5:L39,"Blanco")</f>
        <v>0</v>
      </c>
      <c r="X18" s="127"/>
      <c r="Y18" s="26" t="s">
        <v>29</v>
      </c>
      <c r="Z18" s="52">
        <f>COUNTIFS($C$5:$C$65,"Blanco",$L$5:$L$65,"Si")</f>
        <v>1</v>
      </c>
      <c r="AA18" s="127"/>
      <c r="AB18" s="26" t="s">
        <v>29</v>
      </c>
      <c r="AC18" s="58">
        <f>COUNTIFS($C$5:$C$65,"Blanco",$L$5:$L$65,"No")</f>
        <v>1</v>
      </c>
      <c r="AD18" s="127"/>
      <c r="AE18" s="26" t="s">
        <v>6</v>
      </c>
      <c r="AF18" s="26">
        <f>COUNTIFS($F$5:$F$65,"1",$L$5:$L$65,"Si")</f>
        <v>4</v>
      </c>
      <c r="AG18" s="26" t="s">
        <v>9</v>
      </c>
      <c r="AH18" s="26">
        <f>COUNTIFS($I$5:$I$65,"1",$L$5:$L$65,"Si")</f>
        <v>3</v>
      </c>
      <c r="AI18" s="26"/>
      <c r="AJ18" s="52"/>
      <c r="AK18" s="50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x14ac:dyDescent="0.25">
      <c r="A19" s="3">
        <v>15</v>
      </c>
      <c r="B19" s="5">
        <v>42929</v>
      </c>
      <c r="C19" s="6" t="s">
        <v>30</v>
      </c>
      <c r="D19" s="6"/>
      <c r="E19" s="6"/>
      <c r="F19" s="6"/>
      <c r="G19" s="6">
        <v>1</v>
      </c>
      <c r="H19" s="6"/>
      <c r="I19" s="6"/>
      <c r="J19" s="6" t="s">
        <v>48</v>
      </c>
      <c r="K19" s="6" t="s">
        <v>50</v>
      </c>
      <c r="L19" s="6" t="s">
        <v>25</v>
      </c>
      <c r="M19" s="6" t="s">
        <v>25</v>
      </c>
      <c r="N19" s="6" t="s">
        <v>25</v>
      </c>
      <c r="O19" s="6" t="s">
        <v>25</v>
      </c>
      <c r="P19" s="6" t="s">
        <v>25</v>
      </c>
      <c r="Q19" s="6" t="s">
        <v>34</v>
      </c>
      <c r="R19" s="6" t="s">
        <v>25</v>
      </c>
      <c r="S19" s="6" t="s">
        <v>25</v>
      </c>
      <c r="U19" s="137" t="s">
        <v>37</v>
      </c>
      <c r="V19" s="12" t="s">
        <v>20</v>
      </c>
      <c r="W19" s="14">
        <f>+COUNTIF(M5:M39,"Si")</f>
        <v>19</v>
      </c>
      <c r="X19" s="125" t="s">
        <v>118</v>
      </c>
      <c r="Y19" s="48" t="s">
        <v>114</v>
      </c>
      <c r="Z19" s="49">
        <f>COUNTIFS($C$5:$C$65,"M",$M$5:$M$65,"Si")</f>
        <v>10</v>
      </c>
      <c r="AA19" s="125" t="s">
        <v>117</v>
      </c>
      <c r="AB19" s="48" t="s">
        <v>114</v>
      </c>
      <c r="AC19" s="55">
        <f>COUNTIFS($C$5:$C$65,"M",$M$5:$M$65,"No")</f>
        <v>5</v>
      </c>
      <c r="AD19" s="132" t="s">
        <v>118</v>
      </c>
      <c r="AE19" s="61" t="s">
        <v>4</v>
      </c>
      <c r="AF19" s="48">
        <f>COUNTIFS($D$5:$D$65,"1",$M$5:$M$65,"Si")</f>
        <v>4</v>
      </c>
      <c r="AG19" s="61" t="s">
        <v>7</v>
      </c>
      <c r="AH19" s="48">
        <f>COUNTIFS($G$5:$G$65,"1",$M$5:$M$65,"Si")</f>
        <v>3</v>
      </c>
      <c r="AI19" s="61" t="s">
        <v>29</v>
      </c>
      <c r="AJ19" s="49">
        <f>COUNTIFS($I$5:$I$65,"Blanco",$M$5:$M$65,"Si")</f>
        <v>1</v>
      </c>
      <c r="AK19" s="50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x14ac:dyDescent="0.25">
      <c r="A20" s="3">
        <v>16</v>
      </c>
      <c r="B20" s="5">
        <v>42929</v>
      </c>
      <c r="C20" s="6" t="s">
        <v>30</v>
      </c>
      <c r="D20" s="6"/>
      <c r="E20" s="6">
        <v>1</v>
      </c>
      <c r="F20" s="6"/>
      <c r="G20" s="6"/>
      <c r="H20" s="6"/>
      <c r="I20" s="6"/>
      <c r="J20" s="6" t="s">
        <v>48</v>
      </c>
      <c r="K20" s="6" t="s">
        <v>50</v>
      </c>
      <c r="L20" s="6" t="s">
        <v>20</v>
      </c>
      <c r="M20" s="6" t="s">
        <v>20</v>
      </c>
      <c r="N20" s="6" t="s">
        <v>20</v>
      </c>
      <c r="O20" s="6" t="s">
        <v>20</v>
      </c>
      <c r="P20" s="6" t="s">
        <v>20</v>
      </c>
      <c r="Q20" s="6" t="s">
        <v>28</v>
      </c>
      <c r="R20" s="6" t="s">
        <v>20</v>
      </c>
      <c r="S20" s="6" t="s">
        <v>20</v>
      </c>
      <c r="U20" s="109"/>
      <c r="V20" s="9" t="s">
        <v>25</v>
      </c>
      <c r="W20" s="15">
        <f>+COUNTIF(M5:M39,"No")</f>
        <v>16</v>
      </c>
      <c r="X20" s="126"/>
      <c r="Y20" s="6" t="s">
        <v>115</v>
      </c>
      <c r="Z20" s="51">
        <f>COUNTIFS($C$5:$C$65,"F",$M$5:$M$65,"Si")</f>
        <v>8</v>
      </c>
      <c r="AA20" s="126"/>
      <c r="AB20" s="6" t="s">
        <v>115</v>
      </c>
      <c r="AC20" s="57">
        <f>COUNTIFS($C$5:$C$65,"F",$M$5:$M$65,"No")</f>
        <v>10</v>
      </c>
      <c r="AD20" s="126"/>
      <c r="AE20" s="6" t="s">
        <v>5</v>
      </c>
      <c r="AF20" s="6">
        <f>COUNTIFS($E$5:$E$65,"1",$M$5:$M$65,"Si")</f>
        <v>4</v>
      </c>
      <c r="AG20" s="39" t="s">
        <v>8</v>
      </c>
      <c r="AH20" s="6">
        <f>COUNTIFS($H$5:$H$65,"1",$M$5:$M$65,"Si")</f>
        <v>2</v>
      </c>
      <c r="AI20" s="6"/>
      <c r="AJ20" s="51"/>
      <c r="AK20" s="50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5.75" thickBot="1" x14ac:dyDescent="0.3">
      <c r="A21" s="3">
        <v>17</v>
      </c>
      <c r="B21" s="5">
        <v>42929</v>
      </c>
      <c r="C21" s="6" t="s">
        <v>30</v>
      </c>
      <c r="D21" s="6"/>
      <c r="E21" s="6">
        <v>1</v>
      </c>
      <c r="F21" s="6"/>
      <c r="G21" s="6"/>
      <c r="H21" s="6"/>
      <c r="I21" s="6"/>
      <c r="J21" s="6" t="s">
        <v>48</v>
      </c>
      <c r="K21" s="6" t="s">
        <v>50</v>
      </c>
      <c r="L21" s="6" t="s">
        <v>20</v>
      </c>
      <c r="M21" s="6" t="s">
        <v>20</v>
      </c>
      <c r="N21" s="6" t="s">
        <v>20</v>
      </c>
      <c r="O21" s="6" t="s">
        <v>20</v>
      </c>
      <c r="P21" s="6" t="s">
        <v>20</v>
      </c>
      <c r="Q21" s="6" t="s">
        <v>26</v>
      </c>
      <c r="R21" s="6" t="s">
        <v>20</v>
      </c>
      <c r="S21" s="6" t="s">
        <v>20</v>
      </c>
      <c r="U21" s="110"/>
      <c r="V21" s="13" t="s">
        <v>29</v>
      </c>
      <c r="W21" s="16">
        <f>+COUNTIF(M5:M39,"Blanco")</f>
        <v>0</v>
      </c>
      <c r="X21" s="127"/>
      <c r="Y21" s="26" t="s">
        <v>29</v>
      </c>
      <c r="Z21" s="52">
        <f>COUNTIFS($C$5:$C$65,"Blanco",$M$5:$M$65,"Si")</f>
        <v>1</v>
      </c>
      <c r="AA21" s="127"/>
      <c r="AB21" s="26" t="s">
        <v>29</v>
      </c>
      <c r="AC21" s="58">
        <f>COUNTIFS($C$5:$C$65,"Blanco",$M$5:$M$65,"No")</f>
        <v>1</v>
      </c>
      <c r="AD21" s="127"/>
      <c r="AE21" s="26" t="s">
        <v>6</v>
      </c>
      <c r="AF21" s="26">
        <f>COUNTIFS($F$5:$F$65,"1",$M$5:$M$65,"Si")</f>
        <v>2</v>
      </c>
      <c r="AG21" s="26" t="s">
        <v>9</v>
      </c>
      <c r="AH21" s="26">
        <f>COUNTIFS($I$5:$I$65,"1",$M$5:$M$65,"Si")</f>
        <v>3</v>
      </c>
      <c r="AI21" s="26"/>
      <c r="AJ21" s="52"/>
      <c r="AK21" s="50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x14ac:dyDescent="0.25">
      <c r="A22" s="3">
        <v>18</v>
      </c>
      <c r="B22" s="5">
        <v>42929</v>
      </c>
      <c r="C22" s="6" t="s">
        <v>23</v>
      </c>
      <c r="D22" s="6"/>
      <c r="E22" s="6"/>
      <c r="F22" s="6">
        <v>1</v>
      </c>
      <c r="G22" s="6"/>
      <c r="H22" s="6"/>
      <c r="I22" s="6"/>
      <c r="J22" s="6" t="s">
        <v>48</v>
      </c>
      <c r="K22" s="6" t="s">
        <v>50</v>
      </c>
      <c r="L22" s="6" t="s">
        <v>20</v>
      </c>
      <c r="M22" s="6" t="s">
        <v>20</v>
      </c>
      <c r="N22" s="6" t="s">
        <v>25</v>
      </c>
      <c r="O22" s="6" t="s">
        <v>25</v>
      </c>
      <c r="P22" s="6" t="s">
        <v>25</v>
      </c>
      <c r="Q22" s="6" t="s">
        <v>34</v>
      </c>
      <c r="R22" s="6" t="s">
        <v>25</v>
      </c>
      <c r="S22" s="6" t="s">
        <v>25</v>
      </c>
      <c r="U22" s="137" t="s">
        <v>38</v>
      </c>
      <c r="V22" s="12" t="s">
        <v>20</v>
      </c>
      <c r="W22" s="14">
        <f>+COUNTIF(N5:N39,"Si")</f>
        <v>6</v>
      </c>
      <c r="X22" s="125" t="s">
        <v>118</v>
      </c>
      <c r="Y22" s="48" t="s">
        <v>114</v>
      </c>
      <c r="Z22" s="49">
        <f>COUNTIFS($C$5:$C$65,"M",$N$5:$N$65,"Si")</f>
        <v>5</v>
      </c>
      <c r="AA22" s="125" t="s">
        <v>117</v>
      </c>
      <c r="AB22" s="48" t="s">
        <v>114</v>
      </c>
      <c r="AC22" s="55">
        <f>COUNTIFS($C$5:$C$65,"M",$N$5:$N$65,"No")</f>
        <v>10</v>
      </c>
      <c r="AD22" s="125" t="s">
        <v>117</v>
      </c>
      <c r="AE22" s="48" t="s">
        <v>4</v>
      </c>
      <c r="AF22" s="48">
        <f>COUNTIFS($D$5:$D$65,"1",$N$5:$N$65,"No")</f>
        <v>3</v>
      </c>
      <c r="AG22" s="48" t="s">
        <v>7</v>
      </c>
      <c r="AH22" s="48">
        <f>COUNTIFS($G$5:$G$65,"1",$N$5:$N$65,"No")</f>
        <v>6</v>
      </c>
      <c r="AI22" s="48" t="s">
        <v>29</v>
      </c>
      <c r="AJ22" s="49">
        <f>COUNTIFS($I$5:$I$65,"Blanco",$N$5:$N$65,"No")</f>
        <v>1</v>
      </c>
      <c r="AK22" s="50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x14ac:dyDescent="0.25">
      <c r="A23" s="3">
        <v>19</v>
      </c>
      <c r="B23" s="21"/>
      <c r="C23" s="6" t="s">
        <v>23</v>
      </c>
      <c r="D23" s="6"/>
      <c r="E23" s="6"/>
      <c r="F23" s="6"/>
      <c r="G23" s="6"/>
      <c r="H23" s="6"/>
      <c r="I23" s="6">
        <v>1</v>
      </c>
      <c r="J23" s="6" t="s">
        <v>48</v>
      </c>
      <c r="K23" s="6" t="s">
        <v>50</v>
      </c>
      <c r="L23" s="6" t="s">
        <v>20</v>
      </c>
      <c r="M23" s="6" t="s">
        <v>25</v>
      </c>
      <c r="N23" s="20" t="s">
        <v>29</v>
      </c>
      <c r="O23" s="6" t="s">
        <v>25</v>
      </c>
      <c r="P23" s="6" t="s">
        <v>25</v>
      </c>
      <c r="Q23" s="6" t="s">
        <v>26</v>
      </c>
      <c r="R23" s="6" t="s">
        <v>20</v>
      </c>
      <c r="S23" s="6" t="s">
        <v>25</v>
      </c>
      <c r="U23" s="109"/>
      <c r="V23" s="9" t="s">
        <v>25</v>
      </c>
      <c r="W23" s="15">
        <f>+COUNTIF(N5:N39,"No")</f>
        <v>28</v>
      </c>
      <c r="X23" s="126"/>
      <c r="Y23" s="6" t="s">
        <v>115</v>
      </c>
      <c r="Z23" s="51">
        <f>COUNTIFS($C$5:$C$65,"F",$N$5:$N$65,"Si")</f>
        <v>1</v>
      </c>
      <c r="AA23" s="126"/>
      <c r="AB23" s="6" t="s">
        <v>115</v>
      </c>
      <c r="AC23" s="57">
        <f>COUNTIFS($C$5:$C$65,"F",$N$5:$N$65,"No")</f>
        <v>16</v>
      </c>
      <c r="AD23" s="126"/>
      <c r="AE23" s="6" t="s">
        <v>5</v>
      </c>
      <c r="AF23" s="6">
        <f>COUNTIFS($E$5:$E$65,"1",$N$5:$N$65,"No")</f>
        <v>6</v>
      </c>
      <c r="AG23" s="39" t="s">
        <v>8</v>
      </c>
      <c r="AH23" s="6">
        <f>COUNTIFS($H$5:$H$65,"1",$N$5:$N$65,"No")</f>
        <v>5</v>
      </c>
      <c r="AI23" s="6"/>
      <c r="AJ23" s="51"/>
      <c r="AK23" s="50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5.75" thickBot="1" x14ac:dyDescent="0.3">
      <c r="A24" s="3">
        <v>20</v>
      </c>
      <c r="B24" s="5">
        <v>42929</v>
      </c>
      <c r="C24" s="6" t="s">
        <v>30</v>
      </c>
      <c r="D24" s="6"/>
      <c r="E24" s="6"/>
      <c r="F24" s="6"/>
      <c r="G24" s="6"/>
      <c r="H24" s="6"/>
      <c r="I24" s="20">
        <v>1</v>
      </c>
      <c r="J24" s="6" t="s">
        <v>48</v>
      </c>
      <c r="K24" s="6" t="s">
        <v>50</v>
      </c>
      <c r="L24" s="6" t="s">
        <v>20</v>
      </c>
      <c r="M24" s="6" t="s">
        <v>20</v>
      </c>
      <c r="N24" s="6" t="s">
        <v>20</v>
      </c>
      <c r="O24" s="6" t="s">
        <v>20</v>
      </c>
      <c r="P24" s="6" t="s">
        <v>25</v>
      </c>
      <c r="Q24" s="6" t="s">
        <v>34</v>
      </c>
      <c r="R24" s="6" t="s">
        <v>25</v>
      </c>
      <c r="S24" s="6" t="s">
        <v>25</v>
      </c>
      <c r="U24" s="110"/>
      <c r="V24" s="13" t="s">
        <v>29</v>
      </c>
      <c r="W24" s="16">
        <f>+COUNTIF(N5:N39,"Blanco")</f>
        <v>1</v>
      </c>
      <c r="X24" s="127"/>
      <c r="Y24" s="26" t="s">
        <v>29</v>
      </c>
      <c r="Z24" s="52">
        <f>COUNTIFS($C$5:$C$65,"Blanco",$N$5:N65,"Si")</f>
        <v>0</v>
      </c>
      <c r="AA24" s="127"/>
      <c r="AB24" s="26" t="s">
        <v>29</v>
      </c>
      <c r="AC24" s="58">
        <f>COUNTIFS($C$5:$C$65,"Blanco",$N$5:$N$65,"No")</f>
        <v>2</v>
      </c>
      <c r="AD24" s="127"/>
      <c r="AE24" s="26" t="s">
        <v>6</v>
      </c>
      <c r="AF24" s="26">
        <f>COUNTIFS($F$5:$F$65,"1",$N$5:$N$65,"No")</f>
        <v>5</v>
      </c>
      <c r="AG24" s="26" t="s">
        <v>9</v>
      </c>
      <c r="AH24" s="26">
        <f>COUNTIFS($I$5:$I$65,"1",$N$5:$N$65,"No")</f>
        <v>2</v>
      </c>
      <c r="AI24" s="26"/>
      <c r="AJ24" s="52"/>
      <c r="AK24" s="50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x14ac:dyDescent="0.25">
      <c r="A25" s="3">
        <v>21</v>
      </c>
      <c r="B25" s="5">
        <v>42929</v>
      </c>
      <c r="C25" s="6" t="s">
        <v>23</v>
      </c>
      <c r="D25" s="6"/>
      <c r="E25" s="6"/>
      <c r="F25" s="6"/>
      <c r="G25" s="6"/>
      <c r="H25" s="6">
        <v>1</v>
      </c>
      <c r="I25" s="6"/>
      <c r="J25" s="6" t="s">
        <v>48</v>
      </c>
      <c r="K25" s="6" t="s">
        <v>50</v>
      </c>
      <c r="L25" s="6" t="s">
        <v>25</v>
      </c>
      <c r="M25" s="6" t="s">
        <v>25</v>
      </c>
      <c r="N25" s="6" t="s">
        <v>25</v>
      </c>
      <c r="O25" s="6" t="s">
        <v>25</v>
      </c>
      <c r="P25" s="6" t="s">
        <v>25</v>
      </c>
      <c r="Q25" s="6" t="s">
        <v>34</v>
      </c>
      <c r="R25" s="6" t="s">
        <v>25</v>
      </c>
      <c r="S25" s="6" t="s">
        <v>25</v>
      </c>
      <c r="U25" s="137" t="s">
        <v>39</v>
      </c>
      <c r="V25" s="12" t="s">
        <v>20</v>
      </c>
      <c r="W25" s="14">
        <f>+COUNTIF(O5:O39,"Si")</f>
        <v>8</v>
      </c>
      <c r="X25" s="125" t="s">
        <v>118</v>
      </c>
      <c r="Y25" s="48" t="s">
        <v>114</v>
      </c>
      <c r="Z25" s="49">
        <f>COUNTIFS($C$5:$C$65,"M",$O$5:O65,"Si")</f>
        <v>6</v>
      </c>
      <c r="AA25" s="128" t="s">
        <v>117</v>
      </c>
      <c r="AB25" s="19" t="s">
        <v>114</v>
      </c>
      <c r="AC25" s="65">
        <f>COUNTIFS($C$5:$C$65,"M",$O$5:$O$65,"No")</f>
        <v>9</v>
      </c>
      <c r="AD25" s="128" t="s">
        <v>117</v>
      </c>
      <c r="AE25" s="19" t="s">
        <v>4</v>
      </c>
      <c r="AF25" s="19">
        <f>COUNTIFS($D$5:$D$65,"1",$O$5:$O$65,"No")</f>
        <v>2</v>
      </c>
      <c r="AG25" s="19" t="s">
        <v>7</v>
      </c>
      <c r="AH25" s="19">
        <f>COUNTIFS($G$5:$G$65,"1",$O$5:$O$65,"No")</f>
        <v>6</v>
      </c>
      <c r="AI25" s="19" t="s">
        <v>29</v>
      </c>
      <c r="AJ25" s="66">
        <f>COUNTIFS($I$5:$I$65,"Blanco",$O$5:$O$65,"No")</f>
        <v>1</v>
      </c>
      <c r="AK25" s="50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x14ac:dyDescent="0.25">
      <c r="A26" s="3">
        <v>22</v>
      </c>
      <c r="B26" s="5">
        <v>42930</v>
      </c>
      <c r="C26" s="6" t="s">
        <v>30</v>
      </c>
      <c r="D26" s="6"/>
      <c r="E26" s="6"/>
      <c r="F26" s="6">
        <v>1</v>
      </c>
      <c r="G26" s="6"/>
      <c r="H26" s="6"/>
      <c r="I26" s="6"/>
      <c r="J26" s="6" t="s">
        <v>48</v>
      </c>
      <c r="K26" s="6" t="s">
        <v>50</v>
      </c>
      <c r="L26" s="6" t="s">
        <v>25</v>
      </c>
      <c r="M26" s="6" t="s">
        <v>25</v>
      </c>
      <c r="N26" s="6" t="s">
        <v>25</v>
      </c>
      <c r="O26" s="6" t="s">
        <v>25</v>
      </c>
      <c r="P26" s="6" t="s">
        <v>25</v>
      </c>
      <c r="Q26" s="6" t="s">
        <v>34</v>
      </c>
      <c r="R26" s="6" t="s">
        <v>25</v>
      </c>
      <c r="S26" s="6" t="s">
        <v>25</v>
      </c>
      <c r="U26" s="109"/>
      <c r="V26" s="9" t="s">
        <v>25</v>
      </c>
      <c r="W26" s="15">
        <f>+COUNTIF(O5:O39,"No")</f>
        <v>27</v>
      </c>
      <c r="X26" s="126"/>
      <c r="Y26" s="6" t="s">
        <v>115</v>
      </c>
      <c r="Z26" s="51">
        <f>COUNTIFS($C$5:$C$65,"F",$O$5:$O$65,"Si")</f>
        <v>1</v>
      </c>
      <c r="AA26" s="129"/>
      <c r="AB26" s="35" t="s">
        <v>115</v>
      </c>
      <c r="AC26" s="67">
        <f>COUNTIFS($C$2:$C$65,"F",$O$2:$O$65,"No")</f>
        <v>17</v>
      </c>
      <c r="AD26" s="129"/>
      <c r="AE26" s="35" t="s">
        <v>5</v>
      </c>
      <c r="AF26" s="35">
        <f>COUNTIFS($E$5:$E$65,"1",$O$5:$O$65,"No")</f>
        <v>5</v>
      </c>
      <c r="AG26" s="9" t="s">
        <v>8</v>
      </c>
      <c r="AH26" s="35">
        <f>COUNTIFS($H$5:$H$65,"1",$O$5:$O$65,"No")</f>
        <v>5</v>
      </c>
      <c r="AI26" s="35"/>
      <c r="AJ26" s="68"/>
      <c r="AK26" s="50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5.75" thickBot="1" x14ac:dyDescent="0.3">
      <c r="A27" s="3">
        <v>23</v>
      </c>
      <c r="B27" s="5">
        <v>42930</v>
      </c>
      <c r="C27" s="6" t="s">
        <v>23</v>
      </c>
      <c r="D27" s="6"/>
      <c r="E27" s="6"/>
      <c r="F27" s="6"/>
      <c r="G27" s="6">
        <v>1</v>
      </c>
      <c r="H27" s="6"/>
      <c r="I27" s="6"/>
      <c r="J27" s="6" t="s">
        <v>48</v>
      </c>
      <c r="K27" s="6" t="s">
        <v>50</v>
      </c>
      <c r="L27" s="6" t="s">
        <v>20</v>
      </c>
      <c r="M27" s="6" t="s">
        <v>20</v>
      </c>
      <c r="N27" s="6" t="s">
        <v>25</v>
      </c>
      <c r="O27" s="6" t="s">
        <v>25</v>
      </c>
      <c r="P27" s="6" t="s">
        <v>25</v>
      </c>
      <c r="Q27" s="6" t="s">
        <v>27</v>
      </c>
      <c r="R27" s="6" t="s">
        <v>25</v>
      </c>
      <c r="S27" s="6" t="s">
        <v>20</v>
      </c>
      <c r="U27" s="110"/>
      <c r="V27" s="13" t="s">
        <v>29</v>
      </c>
      <c r="W27" s="16">
        <f>+COUNTIF(O5:O39,"Blanco")</f>
        <v>0</v>
      </c>
      <c r="X27" s="127"/>
      <c r="Y27" s="26" t="s">
        <v>29</v>
      </c>
      <c r="Z27" s="52">
        <f>COUNTIFS($C$5:$C$65,"Blanco",$O$5:$O$65,"Si")</f>
        <v>1</v>
      </c>
      <c r="AA27" s="130"/>
      <c r="AB27" s="27" t="s">
        <v>29</v>
      </c>
      <c r="AC27" s="69">
        <f>COUNTIFS($C$2:$C$65,"Blanco",$O$2:$O$65,"No")</f>
        <v>1</v>
      </c>
      <c r="AD27" s="130"/>
      <c r="AE27" s="27" t="s">
        <v>6</v>
      </c>
      <c r="AF27" s="27">
        <f>COUNTIFS($F$5:$F$65,"1",$O$5:$O$65,"No")</f>
        <v>5</v>
      </c>
      <c r="AG27" s="27" t="s">
        <v>9</v>
      </c>
      <c r="AH27" s="27">
        <f>COUNTIFS($I$5:$I$65,"1",$O$5:$O$65,"No")</f>
        <v>3</v>
      </c>
      <c r="AI27" s="27"/>
      <c r="AJ27" s="70"/>
      <c r="AK27" s="50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x14ac:dyDescent="0.25">
      <c r="A28" s="3">
        <v>24</v>
      </c>
      <c r="B28" s="5">
        <v>42930</v>
      </c>
      <c r="C28" s="6" t="s">
        <v>30</v>
      </c>
      <c r="D28" s="6"/>
      <c r="E28" s="6">
        <v>1</v>
      </c>
      <c r="F28" s="6"/>
      <c r="G28" s="6"/>
      <c r="H28" s="6"/>
      <c r="I28" s="6"/>
      <c r="J28" s="6" t="s">
        <v>48</v>
      </c>
      <c r="K28" s="6" t="s">
        <v>50</v>
      </c>
      <c r="L28" s="6" t="s">
        <v>20</v>
      </c>
      <c r="M28" s="6" t="s">
        <v>20</v>
      </c>
      <c r="N28" s="6" t="s">
        <v>25</v>
      </c>
      <c r="O28" s="6" t="s">
        <v>20</v>
      </c>
      <c r="P28" s="6" t="s">
        <v>20</v>
      </c>
      <c r="Q28" s="6" t="s">
        <v>28</v>
      </c>
      <c r="R28" s="6" t="s">
        <v>20</v>
      </c>
      <c r="S28" s="6" t="s">
        <v>20</v>
      </c>
      <c r="U28" s="137" t="s">
        <v>40</v>
      </c>
      <c r="V28" s="12" t="s">
        <v>20</v>
      </c>
      <c r="W28" s="14">
        <f>+COUNTIF(P5:P39,"Si")</f>
        <v>9</v>
      </c>
      <c r="X28" s="125" t="s">
        <v>118</v>
      </c>
      <c r="Y28" s="48" t="s">
        <v>114</v>
      </c>
      <c r="Z28" s="49">
        <f>COUNTIFS($C$5:$C$65,"M",$P$5:$P$65,"Si")</f>
        <v>6</v>
      </c>
      <c r="AA28" s="128" t="s">
        <v>117</v>
      </c>
      <c r="AB28" s="19" t="s">
        <v>114</v>
      </c>
      <c r="AC28" s="65">
        <f>COUNTIFS($C$5:$C$65,"M",$P$5:$P$65,"No")</f>
        <v>9</v>
      </c>
      <c r="AD28" s="128" t="s">
        <v>117</v>
      </c>
      <c r="AE28" s="19" t="s">
        <v>4</v>
      </c>
      <c r="AF28" s="19">
        <f>COUNTIFS($D$5:$D$65,"1",$P$5:$P$65,"No")</f>
        <v>1</v>
      </c>
      <c r="AG28" s="19" t="s">
        <v>7</v>
      </c>
      <c r="AH28" s="19">
        <f>COUNTIFS($G$5:$G$65,"1",$P$5:$P$65,"No")</f>
        <v>6</v>
      </c>
      <c r="AI28" s="19" t="s">
        <v>29</v>
      </c>
      <c r="AJ28" s="66">
        <f>COUNTIFS($I$5:$I$65,"Blanco",$P$5:$P$65,"No")</f>
        <v>1</v>
      </c>
      <c r="AK28" s="50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x14ac:dyDescent="0.25">
      <c r="A29" s="3">
        <v>25</v>
      </c>
      <c r="B29" s="5">
        <v>42930</v>
      </c>
      <c r="C29" s="6" t="s">
        <v>30</v>
      </c>
      <c r="D29" s="6"/>
      <c r="E29" s="6"/>
      <c r="F29" s="6"/>
      <c r="G29" s="6"/>
      <c r="H29" s="6"/>
      <c r="I29" s="6">
        <v>1</v>
      </c>
      <c r="J29" s="6" t="s">
        <v>48</v>
      </c>
      <c r="K29" s="6" t="s">
        <v>50</v>
      </c>
      <c r="L29" s="6" t="s">
        <v>25</v>
      </c>
      <c r="M29" s="6" t="s">
        <v>20</v>
      </c>
      <c r="N29" s="6" t="s">
        <v>25</v>
      </c>
      <c r="O29" s="6" t="s">
        <v>25</v>
      </c>
      <c r="P29" s="6" t="s">
        <v>25</v>
      </c>
      <c r="Q29" s="6" t="s">
        <v>26</v>
      </c>
      <c r="R29" s="6" t="s">
        <v>25</v>
      </c>
      <c r="S29" s="6" t="s">
        <v>20</v>
      </c>
      <c r="U29" s="109"/>
      <c r="V29" s="9" t="s">
        <v>25</v>
      </c>
      <c r="W29" s="15">
        <f>+COUNTIF(P5:P39,"No")</f>
        <v>26</v>
      </c>
      <c r="X29" s="126"/>
      <c r="Y29" s="6" t="s">
        <v>115</v>
      </c>
      <c r="Z29" s="51">
        <f>COUNTIFS($C$5:$C$65,"F",$P$5:$P$65,"Si")</f>
        <v>2</v>
      </c>
      <c r="AA29" s="129"/>
      <c r="AB29" s="35" t="s">
        <v>115</v>
      </c>
      <c r="AC29" s="67">
        <f>COUNTIFS($C$5:$C$65,"F",$P$5:$P$65,"NO")</f>
        <v>16</v>
      </c>
      <c r="AD29" s="129"/>
      <c r="AE29" s="35" t="s">
        <v>5</v>
      </c>
      <c r="AF29" s="35">
        <f>COUNTIFS($E$5:$E$65,"1",$P$5:$P$65,"No")</f>
        <v>4</v>
      </c>
      <c r="AG29" s="9" t="s">
        <v>8</v>
      </c>
      <c r="AH29" s="35">
        <f>COUNTIFS($H$5:$H$65,"1",$P$5:$P$65,"No")</f>
        <v>5</v>
      </c>
      <c r="AI29" s="35"/>
      <c r="AJ29" s="68"/>
      <c r="AK29" s="50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5.75" thickBot="1" x14ac:dyDescent="0.3">
      <c r="A30" s="3">
        <v>26</v>
      </c>
      <c r="B30" s="5">
        <v>42930</v>
      </c>
      <c r="C30" s="6" t="s">
        <v>23</v>
      </c>
      <c r="D30" s="6"/>
      <c r="E30" s="6"/>
      <c r="F30" s="6"/>
      <c r="G30" s="6">
        <v>1</v>
      </c>
      <c r="H30" s="6"/>
      <c r="I30" s="6"/>
      <c r="J30" s="6" t="s">
        <v>48</v>
      </c>
      <c r="K30" s="6" t="s">
        <v>50</v>
      </c>
      <c r="L30" s="6" t="s">
        <v>25</v>
      </c>
      <c r="M30" s="6" t="s">
        <v>20</v>
      </c>
      <c r="N30" s="6" t="s">
        <v>25</v>
      </c>
      <c r="O30" s="6" t="s">
        <v>25</v>
      </c>
      <c r="P30" s="6" t="s">
        <v>25</v>
      </c>
      <c r="Q30" s="6" t="s">
        <v>27</v>
      </c>
      <c r="R30" s="6" t="s">
        <v>25</v>
      </c>
      <c r="S30" s="6" t="s">
        <v>20</v>
      </c>
      <c r="U30" s="110"/>
      <c r="V30" s="13" t="s">
        <v>29</v>
      </c>
      <c r="W30" s="16">
        <f>+COUNTIF(P5:P39,"Blanco")</f>
        <v>0</v>
      </c>
      <c r="X30" s="154"/>
      <c r="Y30" s="34" t="s">
        <v>29</v>
      </c>
      <c r="Z30" s="53">
        <f>COUNTIFS($C$5:$C$65,"Blanco",$P$5:$P$65,"Si")</f>
        <v>1</v>
      </c>
      <c r="AA30" s="153"/>
      <c r="AB30" s="71" t="s">
        <v>29</v>
      </c>
      <c r="AC30" s="72">
        <f>COUNTIFS($C$5:$C$65,"Blanco",$P$5:$P$65,"No")</f>
        <v>1</v>
      </c>
      <c r="AD30" s="130"/>
      <c r="AE30" s="27" t="s">
        <v>6</v>
      </c>
      <c r="AF30" s="27">
        <f>COUNTIFS($F$5:$F$65,"1",$P$5:$P$65,"No")</f>
        <v>5</v>
      </c>
      <c r="AG30" s="71" t="s">
        <v>9</v>
      </c>
      <c r="AH30" s="71">
        <f>COUNTIFS($I$5:$I$65,"1",$P$5:$P$65,"No")</f>
        <v>4</v>
      </c>
      <c r="AI30" s="71"/>
      <c r="AJ30" s="73"/>
      <c r="AK30" s="5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</row>
    <row r="31" spans="1:50" x14ac:dyDescent="0.25">
      <c r="A31" s="3">
        <v>27</v>
      </c>
      <c r="B31" s="5">
        <v>42930</v>
      </c>
      <c r="C31" s="6" t="s">
        <v>30</v>
      </c>
      <c r="D31" s="6"/>
      <c r="E31" s="6">
        <v>1</v>
      </c>
      <c r="F31" s="6"/>
      <c r="G31" s="6"/>
      <c r="H31" s="6"/>
      <c r="I31" s="6"/>
      <c r="J31" s="6" t="s">
        <v>48</v>
      </c>
      <c r="K31" s="6" t="s">
        <v>50</v>
      </c>
      <c r="L31" s="6" t="s">
        <v>20</v>
      </c>
      <c r="M31" s="6" t="s">
        <v>20</v>
      </c>
      <c r="N31" s="6" t="s">
        <v>25</v>
      </c>
      <c r="O31" s="6" t="s">
        <v>25</v>
      </c>
      <c r="P31" s="6" t="s">
        <v>20</v>
      </c>
      <c r="Q31" s="6" t="s">
        <v>27</v>
      </c>
      <c r="R31" s="6" t="s">
        <v>20</v>
      </c>
      <c r="S31" s="6" t="s">
        <v>25</v>
      </c>
      <c r="U31" s="137" t="s">
        <v>41</v>
      </c>
      <c r="V31" s="12" t="s">
        <v>27</v>
      </c>
      <c r="W31" s="14">
        <f>+COUNTIF(Q5:Q39,"Elevada")</f>
        <v>4</v>
      </c>
      <c r="X31" s="125" t="s">
        <v>116</v>
      </c>
      <c r="Y31" s="48" t="s">
        <v>114</v>
      </c>
      <c r="Z31" s="49">
        <f>COUNTIFS($C$5:$C$65,"M",$Q$5:$Q$65,"Elevada")</f>
        <v>2</v>
      </c>
      <c r="AA31" s="125" t="s">
        <v>119</v>
      </c>
      <c r="AB31" s="48" t="s">
        <v>114</v>
      </c>
      <c r="AC31" s="49">
        <f>COUNTIFS($C$5:$C$65,"M",$Q$5:$Q$65,"Alguna")</f>
        <v>3</v>
      </c>
      <c r="AD31" s="125" t="s">
        <v>120</v>
      </c>
      <c r="AE31" s="48" t="s">
        <v>114</v>
      </c>
      <c r="AF31" s="49">
        <f>COUNTIFS($C$5:$C$65,"M",$Q$5:$Q$65,"Poca")</f>
        <v>4</v>
      </c>
      <c r="AG31" s="125" t="s">
        <v>121</v>
      </c>
      <c r="AH31" s="48" t="s">
        <v>114</v>
      </c>
      <c r="AI31" s="55">
        <f>COUNTIFS($C$5:$C$65,"M",$Q$5:$Q$65,"Ninguna")</f>
        <v>6</v>
      </c>
      <c r="AJ31" s="55"/>
      <c r="AK31" s="125" t="s">
        <v>122</v>
      </c>
      <c r="AL31" s="56" t="s">
        <v>4</v>
      </c>
      <c r="AM31" s="48">
        <f>COUNTIFS($D$5:$D$65,"1",$Q$5:$Q$65,"Elevada")</f>
        <v>0</v>
      </c>
      <c r="AN31" s="48" t="s">
        <v>7</v>
      </c>
      <c r="AO31" s="48">
        <f>COUNTIFS($G$5:$G$65,"1",$Q$5:$Q$65,"Elevada")</f>
        <v>3</v>
      </c>
      <c r="AP31" s="48" t="s">
        <v>29</v>
      </c>
      <c r="AQ31" s="49">
        <f>COUNTIFS($I$5:$I$65,"Blanco",$Q$5:$Q$65,"Elevada")</f>
        <v>0</v>
      </c>
      <c r="AR31" s="125" t="s">
        <v>119</v>
      </c>
      <c r="AS31" s="48" t="s">
        <v>4</v>
      </c>
      <c r="AT31" s="48">
        <f>COUNTIFS($D$5:$D$65,"1",$Q$5:$Q$65,"Alguna")</f>
        <v>3</v>
      </c>
      <c r="AU31" s="48" t="s">
        <v>7</v>
      </c>
      <c r="AV31" s="48">
        <f>COUNTIFS($G$5:$G$65,"1",$Q$5:$Q$65,"Alguna")</f>
        <v>0</v>
      </c>
      <c r="AW31" s="48" t="s">
        <v>29</v>
      </c>
      <c r="AX31" s="49">
        <f>COUNTIFS($I$5:$I$65,"Blanco",$Q$5:$Q$65,"Alguna")</f>
        <v>0</v>
      </c>
    </row>
    <row r="32" spans="1:50" x14ac:dyDescent="0.25">
      <c r="A32" s="3">
        <v>28</v>
      </c>
      <c r="B32" s="5">
        <v>42927</v>
      </c>
      <c r="C32" s="6" t="s">
        <v>23</v>
      </c>
      <c r="D32" s="6"/>
      <c r="E32" s="6"/>
      <c r="F32" s="6">
        <v>1</v>
      </c>
      <c r="G32" s="6"/>
      <c r="H32" s="6"/>
      <c r="I32" s="6"/>
      <c r="J32" s="6" t="s">
        <v>48</v>
      </c>
      <c r="K32" s="6" t="s">
        <v>50</v>
      </c>
      <c r="L32" s="6" t="s">
        <v>20</v>
      </c>
      <c r="M32" s="6" t="s">
        <v>25</v>
      </c>
      <c r="N32" s="6" t="s">
        <v>25</v>
      </c>
      <c r="O32" s="6" t="s">
        <v>25</v>
      </c>
      <c r="P32" s="6" t="s">
        <v>25</v>
      </c>
      <c r="Q32" s="6" t="s">
        <v>28</v>
      </c>
      <c r="R32" s="6" t="s">
        <v>25</v>
      </c>
      <c r="S32" s="6" t="s">
        <v>20</v>
      </c>
      <c r="U32" s="109"/>
      <c r="V32" s="9" t="s">
        <v>28</v>
      </c>
      <c r="W32" s="15">
        <f>+COUNTIF(Q5:Q39,"Alguna")</f>
        <v>8</v>
      </c>
      <c r="X32" s="126"/>
      <c r="Y32" s="6" t="s">
        <v>115</v>
      </c>
      <c r="Z32" s="51">
        <f>COUNTIFS($C$5:$C$65,"F",$Q$5:$Q$65,"Elevada")</f>
        <v>2</v>
      </c>
      <c r="AA32" s="126"/>
      <c r="AB32" s="6" t="s">
        <v>115</v>
      </c>
      <c r="AC32" s="51">
        <f>COUNTIFS($C$5:$C$65,"F",$Q$5:$Q$65,"Alguna")</f>
        <v>4</v>
      </c>
      <c r="AD32" s="126"/>
      <c r="AE32" s="6" t="s">
        <v>115</v>
      </c>
      <c r="AF32" s="51">
        <f>COUNTIFS($C$5:$C$65,"F",$Q$5:$Q$65,"Poca")</f>
        <v>3</v>
      </c>
      <c r="AG32" s="126"/>
      <c r="AH32" s="6" t="s">
        <v>115</v>
      </c>
      <c r="AI32" s="57">
        <f>COUNTIFS($C$5:$C$65,"F",$Q$5:$Q$65,"Ninguna")</f>
        <v>9</v>
      </c>
      <c r="AJ32" s="57"/>
      <c r="AK32" s="126"/>
      <c r="AL32" s="50" t="s">
        <v>5</v>
      </c>
      <c r="AM32" s="6">
        <f>COUNTIFS($E$5:$E$65,"1",$Q$5:$Q$65,"Elevada")</f>
        <v>1</v>
      </c>
      <c r="AN32" s="39" t="s">
        <v>8</v>
      </c>
      <c r="AO32" s="6">
        <f>COUNTIFS($H$5:$H$65,"1",$Q$5:$Q$65,"Elevada")</f>
        <v>0</v>
      </c>
      <c r="AP32" s="6"/>
      <c r="AQ32" s="51"/>
      <c r="AR32" s="126"/>
      <c r="AS32" s="6" t="s">
        <v>5</v>
      </c>
      <c r="AT32" s="6">
        <f>COUNTIFS($E$5:$E$65,"1",$Q$5:$Q$65,"Alguna")</f>
        <v>3</v>
      </c>
      <c r="AU32" s="39" t="s">
        <v>8</v>
      </c>
      <c r="AV32" s="6">
        <f>COUNTIFS($H$5:$H$65,"1",$Q$5:$Q$65,"Alguna")</f>
        <v>1</v>
      </c>
      <c r="AW32" s="6"/>
      <c r="AX32" s="51"/>
    </row>
    <row r="33" spans="1:50" ht="15.75" thickBot="1" x14ac:dyDescent="0.3">
      <c r="A33" s="3">
        <v>29</v>
      </c>
      <c r="B33" s="5">
        <v>42927</v>
      </c>
      <c r="C33" s="6" t="s">
        <v>30</v>
      </c>
      <c r="D33" s="6"/>
      <c r="E33" s="6">
        <v>1</v>
      </c>
      <c r="F33" s="6"/>
      <c r="G33" s="6"/>
      <c r="H33" s="6"/>
      <c r="I33" s="6"/>
      <c r="J33" s="6" t="s">
        <v>48</v>
      </c>
      <c r="K33" s="6" t="s">
        <v>50</v>
      </c>
      <c r="L33" s="6" t="s">
        <v>25</v>
      </c>
      <c r="M33" s="6" t="s">
        <v>25</v>
      </c>
      <c r="N33" s="6" t="s">
        <v>25</v>
      </c>
      <c r="O33" s="6" t="s">
        <v>25</v>
      </c>
      <c r="P33" s="6" t="s">
        <v>25</v>
      </c>
      <c r="Q33" s="6" t="s">
        <v>28</v>
      </c>
      <c r="R33" s="6" t="s">
        <v>25</v>
      </c>
      <c r="S33" s="6" t="s">
        <v>25</v>
      </c>
      <c r="U33" s="109"/>
      <c r="V33" s="9" t="s">
        <v>26</v>
      </c>
      <c r="W33" s="15">
        <f>+COUNTIF(Q5:Q39,"Poca")</f>
        <v>7</v>
      </c>
      <c r="X33" s="127"/>
      <c r="Y33" s="26" t="s">
        <v>29</v>
      </c>
      <c r="Z33" s="52">
        <f>COUNTIFS($C$5:$C$65,"Blanco",Q5:Q65,"Elevada")</f>
        <v>0</v>
      </c>
      <c r="AA33" s="127"/>
      <c r="AB33" s="26" t="s">
        <v>29</v>
      </c>
      <c r="AC33" s="52">
        <f>COUNTIFS($C$5:$C$65,"Blanco",$Q$5:$Q$65,"Alguna")</f>
        <v>1</v>
      </c>
      <c r="AD33" s="127"/>
      <c r="AE33" s="26" t="s">
        <v>29</v>
      </c>
      <c r="AF33" s="52">
        <f>COUNTIFS($C$5:$C$65,"Blanco",$Q$5:$Q$65,"Poca")</f>
        <v>0</v>
      </c>
      <c r="AG33" s="127"/>
      <c r="AH33" s="26" t="s">
        <v>29</v>
      </c>
      <c r="AI33" s="58">
        <f>COUNTIFS($C$5:$C$65,"Blanco",$Q$5:$Q$65,"Ninguna")</f>
        <v>1</v>
      </c>
      <c r="AJ33" s="58"/>
      <c r="AK33" s="127"/>
      <c r="AL33" s="59" t="s">
        <v>6</v>
      </c>
      <c r="AM33" s="26">
        <f>COUNTIFS($F$5:$F$65,"1",$Q$5:$Q$65,"Elevada")</f>
        <v>0</v>
      </c>
      <c r="AN33" s="26" t="s">
        <v>9</v>
      </c>
      <c r="AO33" s="26">
        <f>COUNTIFS(I5:$I$65,"1",$Q$5:$Q$65,"Elevada")</f>
        <v>0</v>
      </c>
      <c r="AP33" s="26"/>
      <c r="AQ33" s="52"/>
      <c r="AR33" s="127"/>
      <c r="AS33" s="26" t="s">
        <v>6</v>
      </c>
      <c r="AT33" s="26">
        <f>COUNTIFS($F$5:$F$65,"1",$Q$5:$Q$65,"Alguna")</f>
        <v>1</v>
      </c>
      <c r="AU33" s="26" t="s">
        <v>9</v>
      </c>
      <c r="AV33" s="26">
        <f>COUNTIFS($I$5:$I$65,"1",$Q$5:$Q$65,"Alguna")</f>
        <v>0</v>
      </c>
      <c r="AW33" s="26"/>
      <c r="AX33" s="52"/>
    </row>
    <row r="34" spans="1:50" ht="15.75" thickBot="1" x14ac:dyDescent="0.3">
      <c r="A34" s="3">
        <v>30</v>
      </c>
      <c r="B34" s="5">
        <v>42927</v>
      </c>
      <c r="C34" s="6" t="s">
        <v>23</v>
      </c>
      <c r="D34" s="6"/>
      <c r="E34" s="6"/>
      <c r="F34" s="6">
        <v>1</v>
      </c>
      <c r="G34" s="6"/>
      <c r="H34" s="6"/>
      <c r="I34" s="6"/>
      <c r="J34" s="6" t="s">
        <v>48</v>
      </c>
      <c r="K34" s="6" t="s">
        <v>50</v>
      </c>
      <c r="L34" s="6" t="s">
        <v>25</v>
      </c>
      <c r="M34" s="6" t="s">
        <v>25</v>
      </c>
      <c r="N34" s="6" t="s">
        <v>25</v>
      </c>
      <c r="O34" s="6" t="s">
        <v>25</v>
      </c>
      <c r="P34" s="6" t="s">
        <v>25</v>
      </c>
      <c r="Q34" s="6" t="s">
        <v>26</v>
      </c>
      <c r="R34" s="6" t="s">
        <v>25</v>
      </c>
      <c r="S34" s="6" t="s">
        <v>25</v>
      </c>
      <c r="U34" s="110"/>
      <c r="V34" s="13" t="s">
        <v>34</v>
      </c>
      <c r="W34" s="16">
        <f>+COUNTIF(Q5:Q39,"Ninguna")</f>
        <v>16</v>
      </c>
      <c r="X34" s="47"/>
      <c r="Y34" s="60"/>
      <c r="Z34" s="62"/>
      <c r="AA34" s="63"/>
      <c r="AB34" s="60"/>
      <c r="AC34" s="64"/>
      <c r="AD34" s="60"/>
      <c r="AE34" s="60"/>
      <c r="AG34" s="60"/>
      <c r="AH34" s="60"/>
      <c r="AI34" s="60"/>
      <c r="AJ34" s="60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</row>
    <row r="35" spans="1:50" x14ac:dyDescent="0.25">
      <c r="A35" s="3">
        <v>31</v>
      </c>
      <c r="B35" s="5">
        <v>42930</v>
      </c>
      <c r="C35" s="6" t="s">
        <v>23</v>
      </c>
      <c r="D35" s="6">
        <v>1</v>
      </c>
      <c r="E35" s="6"/>
      <c r="F35" s="6"/>
      <c r="G35" s="6"/>
      <c r="H35" s="6"/>
      <c r="I35" s="6"/>
      <c r="J35" s="6" t="s">
        <v>48</v>
      </c>
      <c r="K35" s="6" t="s">
        <v>50</v>
      </c>
      <c r="L35" s="6" t="s">
        <v>20</v>
      </c>
      <c r="M35" s="6" t="s">
        <v>20</v>
      </c>
      <c r="N35" s="6" t="s">
        <v>25</v>
      </c>
      <c r="O35" s="6" t="s">
        <v>25</v>
      </c>
      <c r="P35" s="6" t="s">
        <v>20</v>
      </c>
      <c r="Q35" s="6" t="s">
        <v>28</v>
      </c>
      <c r="R35" s="6" t="s">
        <v>20</v>
      </c>
      <c r="S35" s="6" t="s">
        <v>20</v>
      </c>
      <c r="U35" s="137" t="s">
        <v>42</v>
      </c>
      <c r="V35" s="12" t="s">
        <v>20</v>
      </c>
      <c r="W35" s="14">
        <f>+COUNTIF(R5:R39,"Si")</f>
        <v>13</v>
      </c>
      <c r="X35" s="125" t="s">
        <v>118</v>
      </c>
      <c r="Y35" s="48" t="s">
        <v>114</v>
      </c>
      <c r="Z35" s="49">
        <f>COUNTIFS($C$5:$C$65,"M",$R$5:$R$65,"Si")</f>
        <v>7</v>
      </c>
      <c r="AA35" s="125" t="s">
        <v>117</v>
      </c>
      <c r="AB35" s="48" t="s">
        <v>114</v>
      </c>
      <c r="AC35" s="55">
        <f>COUNTIFS($C$5:$C$65,"M",$R$5:$R$65,"No")</f>
        <v>8</v>
      </c>
      <c r="AD35" s="125" t="s">
        <v>118</v>
      </c>
      <c r="AE35" s="48" t="s">
        <v>4</v>
      </c>
      <c r="AF35" s="48">
        <f>COUNTIFS($D$5:$D$65,"1",$R$5:$R$65,"Si")</f>
        <v>4</v>
      </c>
      <c r="AG35" s="48" t="s">
        <v>7</v>
      </c>
      <c r="AH35" s="48">
        <f>COUNTIFS($G$5:$G$65,"1",$R$5:$R$65,"Si")</f>
        <v>1</v>
      </c>
      <c r="AI35" s="48" t="s">
        <v>29</v>
      </c>
      <c r="AJ35" s="49">
        <f>COUNTIFS($I$5:$I$65,"Blanco",$R$5:$R$65,"Si")</f>
        <v>0</v>
      </c>
      <c r="AK35" s="50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x14ac:dyDescent="0.25">
      <c r="A36" s="3">
        <v>32</v>
      </c>
      <c r="B36" s="5">
        <v>42937</v>
      </c>
      <c r="C36" s="6" t="s">
        <v>30</v>
      </c>
      <c r="D36" s="6"/>
      <c r="E36" s="6"/>
      <c r="F36" s="6"/>
      <c r="G36" s="6">
        <v>1</v>
      </c>
      <c r="H36" s="6"/>
      <c r="I36" s="6"/>
      <c r="J36" s="6" t="s">
        <v>48</v>
      </c>
      <c r="K36" s="6" t="s">
        <v>50</v>
      </c>
      <c r="L36" s="6" t="s">
        <v>20</v>
      </c>
      <c r="M36" s="6" t="s">
        <v>20</v>
      </c>
      <c r="N36" s="6" t="s">
        <v>25</v>
      </c>
      <c r="O36" s="6" t="s">
        <v>25</v>
      </c>
      <c r="P36" s="6" t="s">
        <v>25</v>
      </c>
      <c r="Q36" s="6" t="s">
        <v>27</v>
      </c>
      <c r="R36" s="6" t="s">
        <v>20</v>
      </c>
      <c r="S36" s="6" t="s">
        <v>20</v>
      </c>
      <c r="U36" s="109"/>
      <c r="V36" s="9" t="s">
        <v>25</v>
      </c>
      <c r="W36" s="15">
        <f>+COUNTIF(R5:R39,"No")</f>
        <v>22</v>
      </c>
      <c r="X36" s="126"/>
      <c r="Y36" s="6" t="s">
        <v>115</v>
      </c>
      <c r="Z36" s="51">
        <f>COUNTIFS($C$5:$C$65,"F",$R$5:$R$65,"Si")</f>
        <v>5</v>
      </c>
      <c r="AA36" s="126"/>
      <c r="AB36" s="6" t="s">
        <v>115</v>
      </c>
      <c r="AC36" s="57">
        <f>COUNTIFS($C$5:$C$65,"F",$R$5:$R$65,"No")</f>
        <v>13</v>
      </c>
      <c r="AD36" s="126"/>
      <c r="AE36" s="6" t="s">
        <v>5</v>
      </c>
      <c r="AF36" s="6">
        <f>COUNTIFS($E$5:$E$65,"1",$R$5:$R$65,"Si")</f>
        <v>4</v>
      </c>
      <c r="AG36" s="39" t="s">
        <v>8</v>
      </c>
      <c r="AH36" s="6">
        <f>COUNTIFS($H$5:$H$65,"1",$R$5:$R$65,"Si")</f>
        <v>0</v>
      </c>
      <c r="AI36" s="6"/>
      <c r="AJ36" s="51"/>
      <c r="AK36" s="50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15.75" thickBot="1" x14ac:dyDescent="0.3">
      <c r="A37" s="3">
        <v>33</v>
      </c>
      <c r="B37" s="5">
        <v>42930</v>
      </c>
      <c r="C37" s="6" t="s">
        <v>23</v>
      </c>
      <c r="D37" s="6">
        <v>1</v>
      </c>
      <c r="E37" s="6"/>
      <c r="F37" s="6"/>
      <c r="G37" s="6"/>
      <c r="H37" s="6"/>
      <c r="I37" s="6"/>
      <c r="J37" s="6" t="s">
        <v>48</v>
      </c>
      <c r="K37" s="6" t="s">
        <v>50</v>
      </c>
      <c r="L37" s="6" t="s">
        <v>20</v>
      </c>
      <c r="M37" s="6" t="s">
        <v>20</v>
      </c>
      <c r="N37" s="6" t="s">
        <v>25</v>
      </c>
      <c r="O37" s="6" t="s">
        <v>25</v>
      </c>
      <c r="P37" s="6" t="s">
        <v>20</v>
      </c>
      <c r="Q37" s="6" t="s">
        <v>28</v>
      </c>
      <c r="R37" s="6" t="s">
        <v>20</v>
      </c>
      <c r="S37" s="6" t="s">
        <v>20</v>
      </c>
      <c r="U37" s="110"/>
      <c r="V37" s="13" t="s">
        <v>29</v>
      </c>
      <c r="W37" s="16">
        <f>+COUNTIF(R5:R39,"Blanco")</f>
        <v>0</v>
      </c>
      <c r="X37" s="127"/>
      <c r="Y37" s="26" t="s">
        <v>29</v>
      </c>
      <c r="Z37" s="52">
        <f>COUNTIFS($C$5:$C$65,"Blanco",$R$5:$R$65,"Si")</f>
        <v>1</v>
      </c>
      <c r="AA37" s="127"/>
      <c r="AB37" s="26" t="s">
        <v>29</v>
      </c>
      <c r="AC37" s="58">
        <f>COUNTIFS($C$5:$C$65,"Blanco",$R$5:$R$65,"No")</f>
        <v>1</v>
      </c>
      <c r="AD37" s="127"/>
      <c r="AE37" s="26" t="s">
        <v>6</v>
      </c>
      <c r="AF37" s="26">
        <f>COUNTIFS($F$5:$F$65,"1",$R$5:$R$65,"Si")</f>
        <v>2</v>
      </c>
      <c r="AG37" s="26" t="s">
        <v>9</v>
      </c>
      <c r="AH37" s="26">
        <f>COUNTIFS($I$5:$I$65,"1",$R$5:$R$65,"Si")</f>
        <v>2</v>
      </c>
      <c r="AI37" s="26"/>
      <c r="AJ37" s="52"/>
      <c r="AK37" s="50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x14ac:dyDescent="0.25">
      <c r="A38" s="3">
        <v>34</v>
      </c>
      <c r="B38" s="5">
        <v>42928</v>
      </c>
      <c r="C38" s="6" t="s">
        <v>23</v>
      </c>
      <c r="D38" s="6"/>
      <c r="E38" s="6">
        <v>1</v>
      </c>
      <c r="F38" s="6"/>
      <c r="G38" s="6"/>
      <c r="H38" s="6"/>
      <c r="I38" s="6"/>
      <c r="J38" s="6" t="s">
        <v>48</v>
      </c>
      <c r="K38" s="6" t="s">
        <v>50</v>
      </c>
      <c r="L38" s="6" t="s">
        <v>25</v>
      </c>
      <c r="M38" s="6" t="s">
        <v>25</v>
      </c>
      <c r="N38" s="6" t="s">
        <v>25</v>
      </c>
      <c r="O38" s="6" t="s">
        <v>25</v>
      </c>
      <c r="P38" s="6" t="s">
        <v>25</v>
      </c>
      <c r="Q38" s="6" t="s">
        <v>34</v>
      </c>
      <c r="R38" s="6" t="s">
        <v>25</v>
      </c>
      <c r="S38" s="6" t="s">
        <v>20</v>
      </c>
      <c r="U38" s="137" t="s">
        <v>43</v>
      </c>
      <c r="V38" s="12" t="s">
        <v>20</v>
      </c>
      <c r="W38" s="14">
        <f>+COUNTIF(S5:S39,"Si")</f>
        <v>17</v>
      </c>
      <c r="X38" s="125" t="s">
        <v>118</v>
      </c>
      <c r="Y38" s="48" t="s">
        <v>114</v>
      </c>
      <c r="Z38" s="49">
        <f>COUNTIFS($C$5:$C$65,"M",$S$5:$S$65,"Si")</f>
        <v>7</v>
      </c>
      <c r="AA38" s="125" t="s">
        <v>117</v>
      </c>
      <c r="AB38" s="48" t="s">
        <v>114</v>
      </c>
      <c r="AC38" s="55">
        <f>COUNTIFS($C$5:$C$65,"M",$S$5:$S$65,"No")</f>
        <v>8</v>
      </c>
      <c r="AD38" s="125" t="s">
        <v>118</v>
      </c>
      <c r="AE38" s="48" t="s">
        <v>4</v>
      </c>
      <c r="AF38" s="48">
        <f>COUNTIFS($D$5:$D$65,"1",$S$5:$S$65,"Si")</f>
        <v>4</v>
      </c>
      <c r="AG38" s="48" t="s">
        <v>7</v>
      </c>
      <c r="AH38" s="48">
        <f>COUNTIFS($G$5:$G$65,"1",$S$5:$S$65,"Si")</f>
        <v>3</v>
      </c>
      <c r="AI38" s="48" t="s">
        <v>29</v>
      </c>
      <c r="AJ38" s="49">
        <f>COUNTIFS($I$5:$I$65,"Blanco",$S$5:$S$65,"Si")</f>
        <v>1</v>
      </c>
      <c r="AK38" s="50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x14ac:dyDescent="0.25">
      <c r="A39" s="3">
        <v>35</v>
      </c>
      <c r="B39" s="5">
        <v>42928</v>
      </c>
      <c r="C39" s="6" t="s">
        <v>30</v>
      </c>
      <c r="D39" s="6"/>
      <c r="E39" s="6"/>
      <c r="F39" s="6"/>
      <c r="G39" s="6">
        <v>1</v>
      </c>
      <c r="H39" s="6"/>
      <c r="I39" s="6"/>
      <c r="J39" s="6" t="s">
        <v>48</v>
      </c>
      <c r="K39" s="6" t="s">
        <v>50</v>
      </c>
      <c r="L39" s="6" t="s">
        <v>25</v>
      </c>
      <c r="M39" s="6" t="s">
        <v>25</v>
      </c>
      <c r="N39" s="6" t="s">
        <v>25</v>
      </c>
      <c r="O39" s="6" t="s">
        <v>25</v>
      </c>
      <c r="P39" s="6" t="s">
        <v>25</v>
      </c>
      <c r="Q39" s="6" t="s">
        <v>34</v>
      </c>
      <c r="R39" s="6" t="s">
        <v>25</v>
      </c>
      <c r="S39" s="6" t="s">
        <v>25</v>
      </c>
      <c r="U39" s="109"/>
      <c r="V39" s="9" t="s">
        <v>25</v>
      </c>
      <c r="W39" s="15">
        <f>+COUNTIF(S5:S39,"No")</f>
        <v>18</v>
      </c>
      <c r="X39" s="126"/>
      <c r="Y39" s="6" t="s">
        <v>115</v>
      </c>
      <c r="Z39" s="51">
        <f>COUNTIFS($C$5:$C$65,"F",$S$5:$S$65,"Si")</f>
        <v>9</v>
      </c>
      <c r="AA39" s="126"/>
      <c r="AB39" s="6" t="s">
        <v>115</v>
      </c>
      <c r="AC39" s="57">
        <f>COUNTIFS($C$5:$C$65,"F",$S$5:$S$65,"No")</f>
        <v>9</v>
      </c>
      <c r="AD39" s="126"/>
      <c r="AE39" s="6" t="s">
        <v>5</v>
      </c>
      <c r="AF39" s="6">
        <f>COUNTIFS($E$5:$E$65,"1",$S$6:$S$66,"Si")</f>
        <v>4</v>
      </c>
      <c r="AG39" s="39" t="s">
        <v>8</v>
      </c>
      <c r="AH39" s="6">
        <f>COUNTIFS($H$5:$H$65,"1",$S$5:$S$65,"Si")</f>
        <v>0</v>
      </c>
      <c r="AI39" s="6"/>
      <c r="AJ39" s="51"/>
      <c r="AK39" s="50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5.75" thickBot="1" x14ac:dyDescent="0.3">
      <c r="U40" s="110"/>
      <c r="V40" s="13" t="s">
        <v>29</v>
      </c>
      <c r="W40" s="16">
        <f>+COUNTIF(S5:S39,"Blanco")</f>
        <v>0</v>
      </c>
      <c r="X40" s="127"/>
      <c r="Y40" s="26" t="s">
        <v>29</v>
      </c>
      <c r="Z40" s="52">
        <f>COUNTIFS($C$5:$C$65,"Blanco",$S$5:$S$65,"Si")</f>
        <v>1</v>
      </c>
      <c r="AA40" s="127"/>
      <c r="AB40" s="26" t="s">
        <v>29</v>
      </c>
      <c r="AC40" s="58">
        <f>COUNTIFS($C$5:$C$65,"Blanco",$S$5:$S$65,"No")</f>
        <v>1</v>
      </c>
      <c r="AD40" s="127"/>
      <c r="AE40" s="26" t="s">
        <v>6</v>
      </c>
      <c r="AF40" s="26">
        <f>COUNTIFS($F$5:$F$65,"1",$S$5:$S$65,"Si")</f>
        <v>3</v>
      </c>
      <c r="AG40" s="26" t="s">
        <v>9</v>
      </c>
      <c r="AH40" s="26">
        <f>COUNTIFS($I$5:$I$65,"1",$S$5:$S$65,"Si")</f>
        <v>2</v>
      </c>
      <c r="AI40" s="26"/>
      <c r="AJ40" s="52"/>
      <c r="AK40" s="50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</sheetData>
  <mergeCells count="58">
    <mergeCell ref="X38:X40"/>
    <mergeCell ref="AA38:AA40"/>
    <mergeCell ref="AD38:AD40"/>
    <mergeCell ref="AG31:AG33"/>
    <mergeCell ref="AK31:AK33"/>
    <mergeCell ref="AR31:AR33"/>
    <mergeCell ref="X35:X37"/>
    <mergeCell ref="AA35:AA37"/>
    <mergeCell ref="AD35:AD37"/>
    <mergeCell ref="X28:X30"/>
    <mergeCell ref="AA28:AA30"/>
    <mergeCell ref="AD28:AD30"/>
    <mergeCell ref="X31:X33"/>
    <mergeCell ref="AA31:AA33"/>
    <mergeCell ref="AD31:AD33"/>
    <mergeCell ref="X22:X24"/>
    <mergeCell ref="AA22:AA24"/>
    <mergeCell ref="AD22:AD24"/>
    <mergeCell ref="X25:X27"/>
    <mergeCell ref="AA25:AA27"/>
    <mergeCell ref="AD25:AD27"/>
    <mergeCell ref="X16:X18"/>
    <mergeCell ref="AA16:AA18"/>
    <mergeCell ref="AD16:AD18"/>
    <mergeCell ref="X19:X21"/>
    <mergeCell ref="AA19:AA21"/>
    <mergeCell ref="AD19:AD21"/>
    <mergeCell ref="P3:P4"/>
    <mergeCell ref="Q3:Q4"/>
    <mergeCell ref="L3:L4"/>
    <mergeCell ref="U35:U37"/>
    <mergeCell ref="U38:U40"/>
    <mergeCell ref="U4:V4"/>
    <mergeCell ref="U6:U12"/>
    <mergeCell ref="U28:U30"/>
    <mergeCell ref="U31:U34"/>
    <mergeCell ref="U22:U24"/>
    <mergeCell ref="U25:U27"/>
    <mergeCell ref="U5:V5"/>
    <mergeCell ref="U13:U15"/>
    <mergeCell ref="U16:U18"/>
    <mergeCell ref="U19:U21"/>
    <mergeCell ref="A1:S1"/>
    <mergeCell ref="A2:S2"/>
    <mergeCell ref="D3:I3"/>
    <mergeCell ref="U1:W1"/>
    <mergeCell ref="U2:V2"/>
    <mergeCell ref="U3:V3"/>
    <mergeCell ref="S3:S4"/>
    <mergeCell ref="A3:A4"/>
    <mergeCell ref="B3:B4"/>
    <mergeCell ref="C3:C4"/>
    <mergeCell ref="J3:J4"/>
    <mergeCell ref="K3:K4"/>
    <mergeCell ref="R3:R4"/>
    <mergeCell ref="M3:M4"/>
    <mergeCell ref="N3:N4"/>
    <mergeCell ref="O3:O4"/>
  </mergeCell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65"/>
  <sheetViews>
    <sheetView topLeftCell="V1" zoomScale="50" zoomScaleNormal="50" workbookViewId="0">
      <selection activeCell="AX34" sqref="AT34:AX36"/>
    </sheetView>
  </sheetViews>
  <sheetFormatPr baseColWidth="10" defaultRowHeight="15" x14ac:dyDescent="0.25"/>
  <cols>
    <col min="1" max="1" width="6.28515625" style="1" bestFit="1" customWidth="1"/>
    <col min="2" max="2" width="17.42578125" customWidth="1"/>
    <col min="4" max="4" width="9.7109375" bestFit="1" customWidth="1"/>
    <col min="5" max="5" width="10.140625" bestFit="1" customWidth="1"/>
    <col min="6" max="6" width="9.7109375" bestFit="1" customWidth="1"/>
    <col min="7" max="7" width="10.140625" bestFit="1" customWidth="1"/>
    <col min="8" max="8" width="9.7109375" bestFit="1" customWidth="1"/>
    <col min="9" max="9" width="14.140625" customWidth="1"/>
    <col min="10" max="10" width="20.140625" bestFit="1" customWidth="1"/>
    <col min="11" max="11" width="16" bestFit="1" customWidth="1"/>
    <col min="12" max="19" width="14.28515625" customWidth="1"/>
    <col min="21" max="21" width="48.42578125" style="7" customWidth="1"/>
    <col min="22" max="22" width="23.85546875" bestFit="1" customWidth="1"/>
    <col min="23" max="23" width="11.42578125" style="1"/>
  </cols>
  <sheetData>
    <row r="1" spans="1:23" ht="15.75" thickBot="1" x14ac:dyDescent="0.3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U1" s="144" t="s">
        <v>46</v>
      </c>
      <c r="V1" s="145"/>
      <c r="W1" s="148"/>
    </row>
    <row r="2" spans="1:23" ht="15.75" thickBot="1" x14ac:dyDescent="0.3">
      <c r="A2" s="123" t="s">
        <v>21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U2" s="144" t="s">
        <v>44</v>
      </c>
      <c r="V2" s="145"/>
      <c r="W2" s="17">
        <f>+COUNTIF(C5:C65,"M")</f>
        <v>19</v>
      </c>
    </row>
    <row r="3" spans="1:23" ht="15.75" customHeight="1" thickBot="1" x14ac:dyDescent="0.3">
      <c r="A3" s="149" t="s">
        <v>22</v>
      </c>
      <c r="B3" s="151" t="s">
        <v>2</v>
      </c>
      <c r="C3" s="149" t="s">
        <v>1</v>
      </c>
      <c r="D3" s="123" t="s">
        <v>3</v>
      </c>
      <c r="E3" s="123"/>
      <c r="F3" s="123"/>
      <c r="G3" s="123"/>
      <c r="H3" s="123"/>
      <c r="I3" s="123"/>
      <c r="J3" s="149" t="s">
        <v>11</v>
      </c>
      <c r="K3" s="149" t="s">
        <v>10</v>
      </c>
      <c r="L3" s="142" t="s">
        <v>12</v>
      </c>
      <c r="M3" s="142" t="s">
        <v>13</v>
      </c>
      <c r="N3" s="142" t="s">
        <v>14</v>
      </c>
      <c r="O3" s="142" t="s">
        <v>15</v>
      </c>
      <c r="P3" s="142" t="s">
        <v>16</v>
      </c>
      <c r="Q3" s="142" t="s">
        <v>17</v>
      </c>
      <c r="R3" s="142" t="s">
        <v>18</v>
      </c>
      <c r="S3" s="142" t="s">
        <v>19</v>
      </c>
      <c r="U3" s="144" t="s">
        <v>45</v>
      </c>
      <c r="V3" s="145"/>
      <c r="W3" s="17">
        <f>+COUNTIF(C5:C65,"F")</f>
        <v>15</v>
      </c>
    </row>
    <row r="4" spans="1:23" ht="15.75" customHeight="1" thickBot="1" x14ac:dyDescent="0.3">
      <c r="A4" s="150"/>
      <c r="B4" s="152"/>
      <c r="C4" s="150"/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150"/>
      <c r="K4" s="150"/>
      <c r="L4" s="143"/>
      <c r="M4" s="143"/>
      <c r="N4" s="143"/>
      <c r="O4" s="143"/>
      <c r="P4" s="143"/>
      <c r="Q4" s="143"/>
      <c r="R4" s="143"/>
      <c r="S4" s="143"/>
      <c r="U4" s="146" t="s">
        <v>29</v>
      </c>
      <c r="V4" s="147"/>
      <c r="W4" s="17">
        <f>+COUNTIF(C5:C65,"Blanco")</f>
        <v>2</v>
      </c>
    </row>
    <row r="5" spans="1:23" ht="15.75" thickBot="1" x14ac:dyDescent="0.3">
      <c r="A5" s="3">
        <v>1</v>
      </c>
      <c r="B5" s="29">
        <v>42943</v>
      </c>
      <c r="C5" s="28" t="s">
        <v>30</v>
      </c>
      <c r="D5" s="28"/>
      <c r="E5" s="28"/>
      <c r="F5" s="28"/>
      <c r="G5" s="28">
        <v>1</v>
      </c>
      <c r="H5" s="28"/>
      <c r="I5" s="28"/>
      <c r="J5" s="33" t="s">
        <v>83</v>
      </c>
      <c r="K5" s="33" t="s">
        <v>82</v>
      </c>
      <c r="L5" s="28" t="s">
        <v>20</v>
      </c>
      <c r="M5" s="28" t="s">
        <v>20</v>
      </c>
      <c r="N5" s="28" t="s">
        <v>25</v>
      </c>
      <c r="O5" s="28" t="s">
        <v>20</v>
      </c>
      <c r="P5" s="28" t="s">
        <v>25</v>
      </c>
      <c r="Q5" s="28" t="s">
        <v>26</v>
      </c>
      <c r="R5" s="28" t="s">
        <v>20</v>
      </c>
      <c r="S5" s="28" t="s">
        <v>20</v>
      </c>
      <c r="U5" s="146" t="s">
        <v>47</v>
      </c>
      <c r="V5" s="147"/>
      <c r="W5" s="18">
        <f>SUM(W2:W4)</f>
        <v>36</v>
      </c>
    </row>
    <row r="6" spans="1:23" x14ac:dyDescent="0.25">
      <c r="A6" s="3">
        <v>2</v>
      </c>
      <c r="B6" s="29">
        <v>42943</v>
      </c>
      <c r="C6" s="28" t="s">
        <v>23</v>
      </c>
      <c r="D6" s="28"/>
      <c r="E6" s="28">
        <v>1</v>
      </c>
      <c r="F6" s="28"/>
      <c r="G6" s="28"/>
      <c r="H6" s="28"/>
      <c r="I6" s="28"/>
      <c r="J6" s="33" t="s">
        <v>83</v>
      </c>
      <c r="K6" s="33" t="s">
        <v>82</v>
      </c>
      <c r="L6" s="28" t="s">
        <v>20</v>
      </c>
      <c r="M6" s="28" t="s">
        <v>20</v>
      </c>
      <c r="N6" s="28" t="s">
        <v>25</v>
      </c>
      <c r="O6" s="28" t="s">
        <v>20</v>
      </c>
      <c r="P6" s="28" t="s">
        <v>25</v>
      </c>
      <c r="Q6" s="28" t="s">
        <v>28</v>
      </c>
      <c r="R6" s="28" t="s">
        <v>25</v>
      </c>
      <c r="S6" s="28" t="s">
        <v>25</v>
      </c>
      <c r="U6" s="140" t="s">
        <v>3</v>
      </c>
      <c r="V6" s="11" t="s">
        <v>4</v>
      </c>
      <c r="W6" s="14">
        <f>+COUNTIF(D5:D65,"1")</f>
        <v>3</v>
      </c>
    </row>
    <row r="7" spans="1:23" x14ac:dyDescent="0.25">
      <c r="A7" s="3">
        <v>3</v>
      </c>
      <c r="B7" s="29">
        <v>42943</v>
      </c>
      <c r="C7" s="28" t="s">
        <v>23</v>
      </c>
      <c r="D7" s="28"/>
      <c r="E7" s="28">
        <v>1</v>
      </c>
      <c r="F7" s="28"/>
      <c r="G7" s="28"/>
      <c r="H7" s="28"/>
      <c r="I7" s="28"/>
      <c r="J7" s="33" t="s">
        <v>83</v>
      </c>
      <c r="K7" s="33" t="s">
        <v>82</v>
      </c>
      <c r="L7" s="28" t="s">
        <v>20</v>
      </c>
      <c r="M7" s="28" t="s">
        <v>20</v>
      </c>
      <c r="N7" s="28" t="s">
        <v>20</v>
      </c>
      <c r="O7" s="28" t="s">
        <v>25</v>
      </c>
      <c r="P7" s="28" t="s">
        <v>25</v>
      </c>
      <c r="Q7" s="28" t="s">
        <v>28</v>
      </c>
      <c r="R7" s="28" t="s">
        <v>25</v>
      </c>
      <c r="S7" s="28" t="s">
        <v>20</v>
      </c>
      <c r="U7" s="141"/>
      <c r="V7" s="8" t="s">
        <v>5</v>
      </c>
      <c r="W7" s="15">
        <f>+COUNTIF(E5:E65,"1")</f>
        <v>4</v>
      </c>
    </row>
    <row r="8" spans="1:23" x14ac:dyDescent="0.25">
      <c r="A8" s="3">
        <v>4</v>
      </c>
      <c r="B8" s="29">
        <v>42943</v>
      </c>
      <c r="C8" s="28" t="s">
        <v>30</v>
      </c>
      <c r="D8" s="28"/>
      <c r="E8" s="28"/>
      <c r="F8" s="28"/>
      <c r="G8" s="28"/>
      <c r="H8" s="28"/>
      <c r="I8" s="28" t="s">
        <v>29</v>
      </c>
      <c r="J8" s="33" t="s">
        <v>83</v>
      </c>
      <c r="K8" s="33" t="s">
        <v>82</v>
      </c>
      <c r="L8" s="28" t="s">
        <v>25</v>
      </c>
      <c r="M8" s="28" t="s">
        <v>25</v>
      </c>
      <c r="N8" s="28" t="s">
        <v>25</v>
      </c>
      <c r="O8" s="28" t="s">
        <v>25</v>
      </c>
      <c r="P8" s="28" t="s">
        <v>25</v>
      </c>
      <c r="Q8" s="28" t="s">
        <v>27</v>
      </c>
      <c r="R8" s="28" t="s">
        <v>25</v>
      </c>
      <c r="S8" s="28" t="s">
        <v>20</v>
      </c>
      <c r="T8" s="30"/>
      <c r="U8" s="141"/>
      <c r="V8" s="8" t="s">
        <v>6</v>
      </c>
      <c r="W8" s="15">
        <f>+COUNTIF(F5:F41,"1")</f>
        <v>2</v>
      </c>
    </row>
    <row r="9" spans="1:23" x14ac:dyDescent="0.25">
      <c r="A9" s="3">
        <v>5</v>
      </c>
      <c r="B9" s="29">
        <v>42944</v>
      </c>
      <c r="C9" s="28" t="s">
        <v>30</v>
      </c>
      <c r="D9" s="28"/>
      <c r="E9" s="28"/>
      <c r="F9" s="28"/>
      <c r="G9" s="28">
        <v>1</v>
      </c>
      <c r="H9" s="28"/>
      <c r="I9" s="28"/>
      <c r="J9" s="33" t="s">
        <v>83</v>
      </c>
      <c r="K9" s="33" t="s">
        <v>82</v>
      </c>
      <c r="L9" s="28" t="s">
        <v>20</v>
      </c>
      <c r="M9" s="28" t="s">
        <v>20</v>
      </c>
      <c r="N9" s="28" t="s">
        <v>25</v>
      </c>
      <c r="O9" s="28" t="s">
        <v>20</v>
      </c>
      <c r="P9" s="28" t="s">
        <v>25</v>
      </c>
      <c r="Q9" s="28" t="s">
        <v>27</v>
      </c>
      <c r="R9" s="28" t="s">
        <v>20</v>
      </c>
      <c r="S9" s="28" t="s">
        <v>20</v>
      </c>
      <c r="U9" s="141"/>
      <c r="V9" s="8" t="s">
        <v>7</v>
      </c>
      <c r="W9" s="15">
        <f>+COUNTIF(G5:G65,"1")</f>
        <v>6</v>
      </c>
    </row>
    <row r="10" spans="1:23" x14ac:dyDescent="0.25">
      <c r="A10" s="3">
        <v>6</v>
      </c>
      <c r="B10" s="29">
        <v>42943</v>
      </c>
      <c r="C10" s="28" t="s">
        <v>23</v>
      </c>
      <c r="D10" s="28"/>
      <c r="E10" s="28"/>
      <c r="F10" s="28"/>
      <c r="G10" s="28"/>
      <c r="H10" s="28"/>
      <c r="I10" s="28">
        <v>1</v>
      </c>
      <c r="J10" s="33" t="s">
        <v>83</v>
      </c>
      <c r="K10" s="33" t="s">
        <v>82</v>
      </c>
      <c r="L10" s="28" t="s">
        <v>20</v>
      </c>
      <c r="M10" s="28" t="s">
        <v>20</v>
      </c>
      <c r="N10" s="28" t="s">
        <v>20</v>
      </c>
      <c r="O10" s="28" t="s">
        <v>20</v>
      </c>
      <c r="P10" s="28" t="s">
        <v>20</v>
      </c>
      <c r="Q10" s="28" t="s">
        <v>27</v>
      </c>
      <c r="R10" s="28" t="s">
        <v>25</v>
      </c>
      <c r="S10" s="28" t="s">
        <v>20</v>
      </c>
      <c r="U10" s="141"/>
      <c r="V10" s="8" t="s">
        <v>8</v>
      </c>
      <c r="W10" s="15">
        <f>+COUNTIF(H5:H65,"1")</f>
        <v>7</v>
      </c>
    </row>
    <row r="11" spans="1:23" x14ac:dyDescent="0.25">
      <c r="A11" s="3">
        <v>7</v>
      </c>
      <c r="B11" s="29">
        <v>42943</v>
      </c>
      <c r="C11" s="28" t="s">
        <v>30</v>
      </c>
      <c r="D11" s="28">
        <v>1</v>
      </c>
      <c r="E11" s="28"/>
      <c r="F11" s="28"/>
      <c r="G11" s="28"/>
      <c r="H11" s="28"/>
      <c r="I11" s="28"/>
      <c r="J11" s="33" t="s">
        <v>83</v>
      </c>
      <c r="K11" s="33" t="s">
        <v>82</v>
      </c>
      <c r="L11" s="28" t="s">
        <v>20</v>
      </c>
      <c r="M11" s="28" t="s">
        <v>20</v>
      </c>
      <c r="N11" s="28" t="s">
        <v>25</v>
      </c>
      <c r="O11" s="28" t="s">
        <v>25</v>
      </c>
      <c r="P11" s="28" t="s">
        <v>25</v>
      </c>
      <c r="Q11" s="28" t="s">
        <v>27</v>
      </c>
      <c r="R11" s="28" t="s">
        <v>25</v>
      </c>
      <c r="S11" s="28" t="s">
        <v>25</v>
      </c>
      <c r="U11" s="141"/>
      <c r="V11" s="22" t="s">
        <v>9</v>
      </c>
      <c r="W11" s="23">
        <f>+COUNTIF(I5:I65,"1")</f>
        <v>5</v>
      </c>
    </row>
    <row r="12" spans="1:23" ht="15.75" thickBot="1" x14ac:dyDescent="0.3">
      <c r="A12" s="3">
        <v>8</v>
      </c>
      <c r="B12" s="29">
        <v>42943</v>
      </c>
      <c r="C12" s="28" t="s">
        <v>23</v>
      </c>
      <c r="D12" s="28"/>
      <c r="E12" s="28"/>
      <c r="F12" s="28"/>
      <c r="G12" s="28"/>
      <c r="H12" s="28">
        <v>1</v>
      </c>
      <c r="I12" s="28"/>
      <c r="J12" s="33" t="s">
        <v>83</v>
      </c>
      <c r="K12" s="33" t="s">
        <v>82</v>
      </c>
      <c r="L12" s="28" t="s">
        <v>20</v>
      </c>
      <c r="M12" s="28" t="s">
        <v>20</v>
      </c>
      <c r="N12" s="28" t="s">
        <v>20</v>
      </c>
      <c r="O12" s="28" t="s">
        <v>20</v>
      </c>
      <c r="P12" s="28" t="s">
        <v>25</v>
      </c>
      <c r="Q12" s="28" t="s">
        <v>27</v>
      </c>
      <c r="R12" s="28" t="s">
        <v>20</v>
      </c>
      <c r="S12" s="28" t="s">
        <v>20</v>
      </c>
      <c r="U12" s="141"/>
      <c r="V12" s="34" t="s">
        <v>29</v>
      </c>
      <c r="W12" s="23">
        <f>+COUNTIF(I5:I65,"Blanco")</f>
        <v>9</v>
      </c>
    </row>
    <row r="13" spans="1:23" x14ac:dyDescent="0.25">
      <c r="A13" s="3">
        <v>9</v>
      </c>
      <c r="B13" s="29">
        <v>42943</v>
      </c>
      <c r="C13" s="28" t="s">
        <v>23</v>
      </c>
      <c r="D13" s="28"/>
      <c r="E13" s="28"/>
      <c r="F13" s="28"/>
      <c r="G13" s="28"/>
      <c r="H13" s="28">
        <v>1</v>
      </c>
      <c r="I13" s="28"/>
      <c r="J13" s="33" t="s">
        <v>83</v>
      </c>
      <c r="K13" s="33" t="s">
        <v>82</v>
      </c>
      <c r="L13" s="28" t="s">
        <v>20</v>
      </c>
      <c r="M13" s="28" t="s">
        <v>20</v>
      </c>
      <c r="N13" s="28" t="s">
        <v>25</v>
      </c>
      <c r="O13" s="28" t="s">
        <v>25</v>
      </c>
      <c r="P13" s="28" t="s">
        <v>20</v>
      </c>
      <c r="Q13" s="28" t="s">
        <v>27</v>
      </c>
      <c r="R13" s="28" t="s">
        <v>20</v>
      </c>
      <c r="S13" s="28" t="s">
        <v>20</v>
      </c>
      <c r="U13" s="137" t="s">
        <v>35</v>
      </c>
      <c r="V13" s="19" t="s">
        <v>82</v>
      </c>
      <c r="W13" s="14">
        <f>+COUNTIF(K5:K65,"San Ignacio")</f>
        <v>12</v>
      </c>
    </row>
    <row r="14" spans="1:23" x14ac:dyDescent="0.25">
      <c r="A14" s="3">
        <v>10</v>
      </c>
      <c r="B14" s="29">
        <v>42943</v>
      </c>
      <c r="C14" s="28" t="s">
        <v>29</v>
      </c>
      <c r="D14" s="28"/>
      <c r="E14" s="28"/>
      <c r="F14" s="28"/>
      <c r="G14" s="28">
        <v>1</v>
      </c>
      <c r="H14" s="28"/>
      <c r="I14" s="28"/>
      <c r="J14" s="33" t="s">
        <v>83</v>
      </c>
      <c r="K14" s="33" t="s">
        <v>82</v>
      </c>
      <c r="L14" s="28" t="s">
        <v>20</v>
      </c>
      <c r="M14" s="28" t="s">
        <v>20</v>
      </c>
      <c r="N14" s="28" t="s">
        <v>25</v>
      </c>
      <c r="O14" s="28" t="s">
        <v>25</v>
      </c>
      <c r="P14" s="28" t="s">
        <v>25</v>
      </c>
      <c r="Q14" s="28" t="s">
        <v>27</v>
      </c>
      <c r="R14" s="28" t="s">
        <v>25</v>
      </c>
      <c r="S14" s="28" t="s">
        <v>25</v>
      </c>
      <c r="U14" s="109"/>
      <c r="V14" s="6" t="s">
        <v>80</v>
      </c>
      <c r="W14" s="15">
        <f>+COUNTIF(K5:K65,"Guaimaca")</f>
        <v>9</v>
      </c>
    </row>
    <row r="15" spans="1:23" x14ac:dyDescent="0.25">
      <c r="A15" s="3">
        <v>11</v>
      </c>
      <c r="B15" s="29">
        <v>42943</v>
      </c>
      <c r="C15" s="28" t="s">
        <v>23</v>
      </c>
      <c r="D15" s="28"/>
      <c r="E15" s="28"/>
      <c r="F15" s="28"/>
      <c r="G15" s="28"/>
      <c r="H15" s="28">
        <v>1</v>
      </c>
      <c r="I15" s="28"/>
      <c r="J15" s="33" t="s">
        <v>83</v>
      </c>
      <c r="K15" s="33" t="s">
        <v>82</v>
      </c>
      <c r="L15" s="28" t="s">
        <v>20</v>
      </c>
      <c r="M15" s="28" t="s">
        <v>20</v>
      </c>
      <c r="N15" s="28" t="s">
        <v>25</v>
      </c>
      <c r="O15" s="28" t="s">
        <v>25</v>
      </c>
      <c r="P15" s="28" t="s">
        <v>25</v>
      </c>
      <c r="Q15" s="28" t="s">
        <v>28</v>
      </c>
      <c r="R15" s="28" t="s">
        <v>20</v>
      </c>
      <c r="S15" s="28" t="s">
        <v>20</v>
      </c>
      <c r="U15" s="109"/>
      <c r="V15" s="35" t="s">
        <v>81</v>
      </c>
      <c r="W15" s="15">
        <f>+COUNTIF(K5:K65,"Distrito Central")</f>
        <v>15</v>
      </c>
    </row>
    <row r="16" spans="1:23" x14ac:dyDescent="0.25">
      <c r="A16" s="3">
        <v>12</v>
      </c>
      <c r="B16" s="29">
        <v>42943</v>
      </c>
      <c r="C16" s="28" t="s">
        <v>30</v>
      </c>
      <c r="D16" s="28"/>
      <c r="E16" s="28"/>
      <c r="F16" s="28"/>
      <c r="G16" s="28"/>
      <c r="H16" s="28">
        <v>1</v>
      </c>
      <c r="I16" s="28"/>
      <c r="J16" s="33" t="s">
        <v>83</v>
      </c>
      <c r="K16" s="33" t="s">
        <v>82</v>
      </c>
      <c r="L16" s="28" t="s">
        <v>20</v>
      </c>
      <c r="M16" s="28" t="s">
        <v>20</v>
      </c>
      <c r="N16" s="28" t="s">
        <v>25</v>
      </c>
      <c r="O16" s="28" t="s">
        <v>25</v>
      </c>
      <c r="P16" s="28" t="s">
        <v>25</v>
      </c>
      <c r="Q16" s="28" t="s">
        <v>27</v>
      </c>
      <c r="R16" s="28" t="s">
        <v>20</v>
      </c>
      <c r="S16" s="28" t="s">
        <v>20</v>
      </c>
      <c r="U16" s="109"/>
      <c r="V16" s="6"/>
      <c r="W16" s="15"/>
    </row>
    <row r="17" spans="1:50" x14ac:dyDescent="0.25">
      <c r="A17" s="3">
        <v>13</v>
      </c>
      <c r="B17" s="29">
        <v>42937</v>
      </c>
      <c r="C17" s="28" t="s">
        <v>30</v>
      </c>
      <c r="D17" s="28"/>
      <c r="E17" s="28"/>
      <c r="F17" s="28"/>
      <c r="G17" s="28">
        <v>1</v>
      </c>
      <c r="H17" s="28"/>
      <c r="I17" s="28"/>
      <c r="J17" s="33" t="s">
        <v>83</v>
      </c>
      <c r="K17" s="6" t="s">
        <v>80</v>
      </c>
      <c r="L17" s="28" t="s">
        <v>20</v>
      </c>
      <c r="M17" s="28" t="s">
        <v>20</v>
      </c>
      <c r="N17" s="28" t="s">
        <v>20</v>
      </c>
      <c r="O17" s="28" t="s">
        <v>20</v>
      </c>
      <c r="P17" s="28" t="s">
        <v>20</v>
      </c>
      <c r="Q17" s="28" t="s">
        <v>28</v>
      </c>
      <c r="R17" s="28" t="s">
        <v>20</v>
      </c>
      <c r="S17" s="28" t="s">
        <v>20</v>
      </c>
      <c r="U17" s="138"/>
      <c r="V17" s="34"/>
      <c r="W17" s="15"/>
    </row>
    <row r="18" spans="1:50" ht="15.75" thickBot="1" x14ac:dyDescent="0.3">
      <c r="A18" s="3">
        <v>14</v>
      </c>
      <c r="B18" s="29">
        <v>42937</v>
      </c>
      <c r="C18" s="28" t="s">
        <v>30</v>
      </c>
      <c r="D18" s="28"/>
      <c r="E18" s="28"/>
      <c r="F18" s="28"/>
      <c r="G18" s="28"/>
      <c r="H18" s="28">
        <v>1</v>
      </c>
      <c r="I18" s="28"/>
      <c r="J18" s="33" t="s">
        <v>83</v>
      </c>
      <c r="K18" s="6" t="s">
        <v>80</v>
      </c>
      <c r="L18" s="28" t="s">
        <v>20</v>
      </c>
      <c r="M18" s="28" t="s">
        <v>20</v>
      </c>
      <c r="N18" s="28" t="s">
        <v>20</v>
      </c>
      <c r="O18" s="28" t="s">
        <v>20</v>
      </c>
      <c r="P18" s="28" t="s">
        <v>20</v>
      </c>
      <c r="Q18" s="28" t="s">
        <v>27</v>
      </c>
      <c r="R18" s="28" t="s">
        <v>20</v>
      </c>
      <c r="S18" s="28" t="s">
        <v>20</v>
      </c>
      <c r="U18" s="110"/>
      <c r="V18" s="26"/>
      <c r="W18" s="16"/>
    </row>
    <row r="19" spans="1:50" ht="15" customHeight="1" x14ac:dyDescent="0.25">
      <c r="A19" s="3">
        <v>15</v>
      </c>
      <c r="B19" s="29">
        <v>42937</v>
      </c>
      <c r="C19" s="28" t="s">
        <v>23</v>
      </c>
      <c r="D19" s="28"/>
      <c r="E19" s="28"/>
      <c r="F19" s="28"/>
      <c r="G19" s="28"/>
      <c r="H19" s="28"/>
      <c r="I19" s="28">
        <v>1</v>
      </c>
      <c r="J19" s="33" t="s">
        <v>83</v>
      </c>
      <c r="K19" s="6" t="s">
        <v>80</v>
      </c>
      <c r="L19" s="28" t="s">
        <v>25</v>
      </c>
      <c r="M19" s="28" t="s">
        <v>20</v>
      </c>
      <c r="N19" s="28" t="s">
        <v>25</v>
      </c>
      <c r="O19" s="28" t="s">
        <v>25</v>
      </c>
      <c r="P19" s="28" t="s">
        <v>25</v>
      </c>
      <c r="Q19" s="28" t="s">
        <v>27</v>
      </c>
      <c r="R19" s="28" t="s">
        <v>25</v>
      </c>
      <c r="S19" s="28" t="s">
        <v>20</v>
      </c>
      <c r="U19" s="139" t="s">
        <v>36</v>
      </c>
      <c r="V19" s="10" t="s">
        <v>20</v>
      </c>
      <c r="W19" s="25">
        <f>+COUNTIF(L5:L65,"Si")</f>
        <v>31</v>
      </c>
      <c r="X19" s="125" t="s">
        <v>118</v>
      </c>
      <c r="Y19" s="48" t="s">
        <v>114</v>
      </c>
      <c r="Z19" s="49">
        <f>COUNTIFS($C$5:$C$65,"M",$L$5:$L$65,"Si")</f>
        <v>16</v>
      </c>
      <c r="AA19" s="125" t="s">
        <v>117</v>
      </c>
      <c r="AB19" s="48" t="s">
        <v>114</v>
      </c>
      <c r="AC19" s="55">
        <f>COUNTIFS($C$5:$C$65,"M",$L$5:$L$65,"No")</f>
        <v>3</v>
      </c>
      <c r="AD19" s="125" t="s">
        <v>118</v>
      </c>
      <c r="AE19" s="48" t="s">
        <v>4</v>
      </c>
      <c r="AF19" s="48">
        <f>COUNTIFS($D$5:$D$65,"1",$L$5:$L$65,"Si")</f>
        <v>2</v>
      </c>
      <c r="AG19" s="48" t="s">
        <v>7</v>
      </c>
      <c r="AH19" s="48">
        <f>COUNTIFS($G$5:$G$65,"1",$L$5:$L$65,"Si")</f>
        <v>6</v>
      </c>
      <c r="AI19" s="48" t="s">
        <v>29</v>
      </c>
      <c r="AJ19" s="49">
        <f>COUNTIFS($I$5:$I$65,"Blanco",$L$5:$L$65,"Si")</f>
        <v>6</v>
      </c>
      <c r="AK19" s="50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x14ac:dyDescent="0.25">
      <c r="A20" s="3">
        <v>16</v>
      </c>
      <c r="B20" s="29">
        <v>42937</v>
      </c>
      <c r="C20" s="28" t="s">
        <v>30</v>
      </c>
      <c r="D20" s="28"/>
      <c r="E20" s="28"/>
      <c r="F20" s="28"/>
      <c r="G20" s="28"/>
      <c r="H20" s="28"/>
      <c r="I20" s="28" t="s">
        <v>29</v>
      </c>
      <c r="J20" s="33" t="s">
        <v>83</v>
      </c>
      <c r="K20" s="6" t="s">
        <v>80</v>
      </c>
      <c r="L20" s="28" t="s">
        <v>20</v>
      </c>
      <c r="M20" s="28" t="s">
        <v>20</v>
      </c>
      <c r="N20" s="28" t="s">
        <v>20</v>
      </c>
      <c r="O20" s="28" t="s">
        <v>20</v>
      </c>
      <c r="P20" s="28" t="s">
        <v>25</v>
      </c>
      <c r="Q20" s="28" t="s">
        <v>28</v>
      </c>
      <c r="R20" s="28" t="s">
        <v>20</v>
      </c>
      <c r="S20" s="28" t="s">
        <v>20</v>
      </c>
      <c r="U20" s="109"/>
      <c r="V20" s="9" t="s">
        <v>25</v>
      </c>
      <c r="W20" s="15">
        <f>+COUNTIF(L5:L65,"No")</f>
        <v>5</v>
      </c>
      <c r="X20" s="126"/>
      <c r="Y20" s="6" t="s">
        <v>115</v>
      </c>
      <c r="Z20" s="51">
        <f>COUNTIFS($C$5:$C$65,"F",$L$5:$L$65,"Si")</f>
        <v>13</v>
      </c>
      <c r="AA20" s="126"/>
      <c r="AB20" s="6" t="s">
        <v>115</v>
      </c>
      <c r="AC20" s="57">
        <f>COUNTIFS($C$5:$C$65,"F",$L$5:$L$65,"No")</f>
        <v>2</v>
      </c>
      <c r="AD20" s="126"/>
      <c r="AE20" s="6" t="s">
        <v>5</v>
      </c>
      <c r="AF20" s="6">
        <f>COUNTIFS($E$5:$E$65,"1",$L$5:$L$65,"Si")</f>
        <v>4</v>
      </c>
      <c r="AG20" s="39" t="s">
        <v>8</v>
      </c>
      <c r="AH20" s="6">
        <f>COUNTIFS($H$5:$H$65,"1",$L$5:$L$65,"Si")</f>
        <v>7</v>
      </c>
      <c r="AI20" s="6"/>
      <c r="AJ20" s="51"/>
      <c r="AK20" s="50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5.75" thickBot="1" x14ac:dyDescent="0.3">
      <c r="A21" s="3">
        <v>17</v>
      </c>
      <c r="B21" s="29">
        <v>42937</v>
      </c>
      <c r="C21" s="28" t="s">
        <v>23</v>
      </c>
      <c r="D21" s="28"/>
      <c r="E21" s="28"/>
      <c r="F21" s="28"/>
      <c r="G21" s="28"/>
      <c r="H21" s="28">
        <v>1</v>
      </c>
      <c r="I21" s="28"/>
      <c r="J21" s="33" t="s">
        <v>83</v>
      </c>
      <c r="K21" s="6" t="s">
        <v>80</v>
      </c>
      <c r="L21" s="28" t="s">
        <v>20</v>
      </c>
      <c r="M21" s="28" t="s">
        <v>20</v>
      </c>
      <c r="N21" s="28" t="s">
        <v>20</v>
      </c>
      <c r="O21" s="28" t="s">
        <v>20</v>
      </c>
      <c r="P21" s="28" t="s">
        <v>20</v>
      </c>
      <c r="Q21" s="28" t="s">
        <v>28</v>
      </c>
      <c r="R21" s="28" t="s">
        <v>20</v>
      </c>
      <c r="S21" s="28" t="s">
        <v>20</v>
      </c>
      <c r="U21" s="110"/>
      <c r="V21" s="13" t="s">
        <v>29</v>
      </c>
      <c r="W21" s="16">
        <f>+COUNTIF(L5:L65,"Blanco")</f>
        <v>0</v>
      </c>
      <c r="X21" s="127"/>
      <c r="Y21" s="26" t="s">
        <v>29</v>
      </c>
      <c r="Z21" s="52">
        <f>COUNTIFS($C$5:$C$65,"Blanco",$L$5:$L$65,"Si")</f>
        <v>2</v>
      </c>
      <c r="AA21" s="127"/>
      <c r="AB21" s="26" t="s">
        <v>29</v>
      </c>
      <c r="AC21" s="58">
        <f>COUNTIFS($C$5:$C$65,"Blanco",$L$5:$L$65,"No")</f>
        <v>0</v>
      </c>
      <c r="AD21" s="127"/>
      <c r="AE21" s="26" t="s">
        <v>6</v>
      </c>
      <c r="AF21" s="26">
        <f>COUNTIFS($F$5:$F$65,"1",$L$5:$L$65,"Si")</f>
        <v>2</v>
      </c>
      <c r="AG21" s="26" t="s">
        <v>9</v>
      </c>
      <c r="AH21" s="26">
        <f>COUNTIFS($I$5:$I$65,"1",$L$5:$L$65,"Si")</f>
        <v>4</v>
      </c>
      <c r="AI21" s="26"/>
      <c r="AJ21" s="52"/>
      <c r="AK21" s="50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x14ac:dyDescent="0.25">
      <c r="A22" s="3">
        <v>18</v>
      </c>
      <c r="B22" s="29">
        <v>42937</v>
      </c>
      <c r="C22" s="28" t="s">
        <v>23</v>
      </c>
      <c r="D22" s="28">
        <v>1</v>
      </c>
      <c r="E22" s="28"/>
      <c r="F22" s="28"/>
      <c r="G22" s="28"/>
      <c r="H22" s="28"/>
      <c r="I22" s="28"/>
      <c r="J22" s="33" t="s">
        <v>83</v>
      </c>
      <c r="K22" s="6" t="s">
        <v>80</v>
      </c>
      <c r="L22" s="28" t="s">
        <v>25</v>
      </c>
      <c r="M22" s="28" t="s">
        <v>25</v>
      </c>
      <c r="N22" s="28" t="s">
        <v>25</v>
      </c>
      <c r="O22" s="28" t="s">
        <v>20</v>
      </c>
      <c r="P22" s="28" t="s">
        <v>25</v>
      </c>
      <c r="Q22" s="28" t="s">
        <v>26</v>
      </c>
      <c r="R22" s="28" t="s">
        <v>20</v>
      </c>
      <c r="S22" s="28" t="s">
        <v>20</v>
      </c>
      <c r="U22" s="137" t="s">
        <v>37</v>
      </c>
      <c r="V22" s="12" t="s">
        <v>20</v>
      </c>
      <c r="W22" s="14">
        <f>+COUNTIF(M5:M65,"Si")</f>
        <v>32</v>
      </c>
      <c r="X22" s="125" t="s">
        <v>118</v>
      </c>
      <c r="Y22" s="48" t="s">
        <v>114</v>
      </c>
      <c r="Z22" s="49">
        <f>COUNTIFS($C$5:$C$65,"M",$M$5:$M$65,"Si")</f>
        <v>17</v>
      </c>
      <c r="AA22" s="125" t="s">
        <v>117</v>
      </c>
      <c r="AB22" s="48" t="s">
        <v>114</v>
      </c>
      <c r="AC22" s="55">
        <f>COUNTIFS($C$5:$C$65,"M",$M$5:$M$65,"No")</f>
        <v>2</v>
      </c>
      <c r="AD22" s="132" t="s">
        <v>118</v>
      </c>
      <c r="AE22" s="61" t="s">
        <v>4</v>
      </c>
      <c r="AF22" s="48">
        <f>COUNTIFS($D$5:$D$65,"1",$M$5:$M$65,"Si")</f>
        <v>2</v>
      </c>
      <c r="AG22" s="61" t="s">
        <v>7</v>
      </c>
      <c r="AH22" s="48">
        <f>COUNTIFS($G$5:$G$65,"1",$M$5:$M$65,"Si")</f>
        <v>6</v>
      </c>
      <c r="AI22" s="61" t="s">
        <v>29</v>
      </c>
      <c r="AJ22" s="49">
        <f>COUNTIFS($I$5:$I$65,"Blanco",$M$5:$M$65,"Si")</f>
        <v>7</v>
      </c>
      <c r="AK22" s="50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x14ac:dyDescent="0.25">
      <c r="A23" s="3">
        <v>19</v>
      </c>
      <c r="B23" s="29">
        <v>42937</v>
      </c>
      <c r="C23" s="28" t="s">
        <v>30</v>
      </c>
      <c r="D23" s="28"/>
      <c r="E23" s="28"/>
      <c r="F23" s="28"/>
      <c r="G23" s="28"/>
      <c r="H23" s="28"/>
      <c r="I23" s="28">
        <v>1</v>
      </c>
      <c r="J23" s="33" t="s">
        <v>83</v>
      </c>
      <c r="K23" s="6" t="s">
        <v>80</v>
      </c>
      <c r="L23" s="28" t="s">
        <v>20</v>
      </c>
      <c r="M23" s="28" t="s">
        <v>20</v>
      </c>
      <c r="N23" s="28" t="s">
        <v>20</v>
      </c>
      <c r="O23" s="28" t="s">
        <v>20</v>
      </c>
      <c r="P23" s="28" t="s">
        <v>25</v>
      </c>
      <c r="Q23" s="28" t="s">
        <v>28</v>
      </c>
      <c r="R23" s="28" t="s">
        <v>20</v>
      </c>
      <c r="S23" s="28" t="s">
        <v>20</v>
      </c>
      <c r="U23" s="109"/>
      <c r="V23" s="9" t="s">
        <v>25</v>
      </c>
      <c r="W23" s="15">
        <f>+COUNTIF(M5:M65,"No")</f>
        <v>4</v>
      </c>
      <c r="X23" s="126"/>
      <c r="Y23" s="6" t="s">
        <v>115</v>
      </c>
      <c r="Z23" s="51">
        <f>COUNTIFS($C$5:$C$65,"F",$M$5:$M$65,"Si")</f>
        <v>13</v>
      </c>
      <c r="AA23" s="126"/>
      <c r="AB23" s="6" t="s">
        <v>115</v>
      </c>
      <c r="AC23" s="57">
        <f>COUNTIFS($C$5:$C$65,"F",$M$5:$M$65,"No")</f>
        <v>2</v>
      </c>
      <c r="AD23" s="126"/>
      <c r="AE23" s="6" t="s">
        <v>5</v>
      </c>
      <c r="AF23" s="6">
        <f>COUNTIFS($E$5:$E$65,"1",$M$5:$M$65,"Si")</f>
        <v>4</v>
      </c>
      <c r="AG23" s="39" t="s">
        <v>8</v>
      </c>
      <c r="AH23" s="6">
        <f>COUNTIFS($H$5:$H$65,"1",$M$5:$M$65,"Si")</f>
        <v>6</v>
      </c>
      <c r="AI23" s="6"/>
      <c r="AJ23" s="51"/>
      <c r="AK23" s="50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5.75" thickBot="1" x14ac:dyDescent="0.3">
      <c r="A24" s="3">
        <v>20</v>
      </c>
      <c r="B24" s="29">
        <v>42937</v>
      </c>
      <c r="C24" s="28" t="s">
        <v>30</v>
      </c>
      <c r="D24" s="28"/>
      <c r="E24" s="28"/>
      <c r="F24" s="28"/>
      <c r="G24" s="28">
        <v>1</v>
      </c>
      <c r="H24" s="28"/>
      <c r="I24" s="28"/>
      <c r="J24" s="33" t="s">
        <v>83</v>
      </c>
      <c r="K24" s="6" t="s">
        <v>80</v>
      </c>
      <c r="L24" s="28" t="s">
        <v>20</v>
      </c>
      <c r="M24" s="28" t="s">
        <v>20</v>
      </c>
      <c r="N24" s="28" t="s">
        <v>25</v>
      </c>
      <c r="O24" s="28" t="s">
        <v>25</v>
      </c>
      <c r="P24" s="28" t="s">
        <v>25</v>
      </c>
      <c r="Q24" s="28" t="s">
        <v>28</v>
      </c>
      <c r="R24" s="28" t="s">
        <v>25</v>
      </c>
      <c r="S24" s="28" t="s">
        <v>20</v>
      </c>
      <c r="U24" s="110"/>
      <c r="V24" s="13" t="s">
        <v>29</v>
      </c>
      <c r="W24" s="16">
        <f>+COUNTIF(M5:M65,"Blanco")</f>
        <v>0</v>
      </c>
      <c r="X24" s="127"/>
      <c r="Y24" s="26" t="s">
        <v>29</v>
      </c>
      <c r="Z24" s="52">
        <f>COUNTIFS($C$5:$C$65,"Blanco",$M$5:$M$65,"Si")</f>
        <v>2</v>
      </c>
      <c r="AA24" s="127"/>
      <c r="AB24" s="26" t="s">
        <v>29</v>
      </c>
      <c r="AC24" s="58">
        <f>COUNTIFS($C$5:$C$65,"Blanco",$M$5:$M$65,"No")</f>
        <v>0</v>
      </c>
      <c r="AD24" s="127"/>
      <c r="AE24" s="26" t="s">
        <v>6</v>
      </c>
      <c r="AF24" s="26">
        <f>COUNTIFS($F$5:$F$65,"1",$M$5:$M$65,"Si")</f>
        <v>2</v>
      </c>
      <c r="AG24" s="26" t="s">
        <v>9</v>
      </c>
      <c r="AH24" s="26">
        <f>COUNTIFS($I$5:$I$65,"1",$M$5:$M$65,"Si")</f>
        <v>5</v>
      </c>
      <c r="AI24" s="26"/>
      <c r="AJ24" s="52"/>
      <c r="AK24" s="50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x14ac:dyDescent="0.25">
      <c r="A25" s="3">
        <v>21</v>
      </c>
      <c r="B25" s="29">
        <v>42937</v>
      </c>
      <c r="C25" s="28" t="s">
        <v>30</v>
      </c>
      <c r="D25" s="28"/>
      <c r="E25" s="28"/>
      <c r="F25" s="28">
        <v>1</v>
      </c>
      <c r="G25" s="28"/>
      <c r="H25" s="28"/>
      <c r="I25" s="28"/>
      <c r="J25" s="33" t="s">
        <v>83</v>
      </c>
      <c r="K25" s="6" t="s">
        <v>80</v>
      </c>
      <c r="L25" s="28" t="s">
        <v>20</v>
      </c>
      <c r="M25" s="28" t="s">
        <v>20</v>
      </c>
      <c r="N25" s="28" t="s">
        <v>20</v>
      </c>
      <c r="O25" s="28" t="s">
        <v>20</v>
      </c>
      <c r="P25" s="28" t="s">
        <v>20</v>
      </c>
      <c r="Q25" s="28" t="s">
        <v>27</v>
      </c>
      <c r="R25" s="28" t="s">
        <v>20</v>
      </c>
      <c r="S25" s="28" t="s">
        <v>20</v>
      </c>
      <c r="U25" s="137" t="s">
        <v>38</v>
      </c>
      <c r="V25" s="12" t="s">
        <v>20</v>
      </c>
      <c r="W25" s="14">
        <f>+COUNTIF(N5:N65,"Si")</f>
        <v>16</v>
      </c>
      <c r="X25" s="125" t="s">
        <v>118</v>
      </c>
      <c r="Y25" s="48" t="s">
        <v>114</v>
      </c>
      <c r="Z25" s="49">
        <f>COUNTIFS($C$5:$C$65,"M",$N$5:$N$65,"Si")</f>
        <v>8</v>
      </c>
      <c r="AA25" s="125" t="s">
        <v>117</v>
      </c>
      <c r="AB25" s="48" t="s">
        <v>114</v>
      </c>
      <c r="AC25" s="55">
        <f>COUNTIFS($C$5:$C$65,"M",$N$5:$N$65,"No")</f>
        <v>11</v>
      </c>
      <c r="AD25" s="125" t="s">
        <v>117</v>
      </c>
      <c r="AE25" s="48" t="s">
        <v>4</v>
      </c>
      <c r="AF25" s="48">
        <f>COUNTIFS($D$5:$D$65,"1",$N$5:$N$65,"No")</f>
        <v>2</v>
      </c>
      <c r="AG25" s="48" t="s">
        <v>7</v>
      </c>
      <c r="AH25" s="48">
        <f>COUNTIFS($G$5:$G$65,"1",$N$5:$N$65,"No")</f>
        <v>4</v>
      </c>
      <c r="AI25" s="48" t="s">
        <v>29</v>
      </c>
      <c r="AJ25" s="49">
        <f>COUNTIFS($I$5:$I$65,"Blanco",$N$5:$N$65,"No")</f>
        <v>4</v>
      </c>
      <c r="AK25" s="50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x14ac:dyDescent="0.25">
      <c r="A26" s="3">
        <v>22</v>
      </c>
      <c r="B26" s="29">
        <v>42930</v>
      </c>
      <c r="C26" s="28" t="s">
        <v>29</v>
      </c>
      <c r="D26" s="28"/>
      <c r="E26" s="28"/>
      <c r="F26" s="28"/>
      <c r="G26" s="28"/>
      <c r="H26" s="28"/>
      <c r="I26" s="28" t="s">
        <v>29</v>
      </c>
      <c r="J26" s="33" t="s">
        <v>83</v>
      </c>
      <c r="K26" s="28" t="s">
        <v>81</v>
      </c>
      <c r="L26" s="28" t="s">
        <v>20</v>
      </c>
      <c r="M26" s="28" t="s">
        <v>20</v>
      </c>
      <c r="N26" s="28" t="s">
        <v>20</v>
      </c>
      <c r="O26" s="28" t="s">
        <v>20</v>
      </c>
      <c r="P26" s="28" t="s">
        <v>25</v>
      </c>
      <c r="Q26" s="28" t="s">
        <v>27</v>
      </c>
      <c r="R26" s="28" t="s">
        <v>20</v>
      </c>
      <c r="S26" s="28" t="s">
        <v>20</v>
      </c>
      <c r="U26" s="109"/>
      <c r="V26" s="9" t="s">
        <v>25</v>
      </c>
      <c r="W26" s="15">
        <f>+COUNTIF(N5:N65,"No")</f>
        <v>20</v>
      </c>
      <c r="X26" s="126"/>
      <c r="Y26" s="6" t="s">
        <v>115</v>
      </c>
      <c r="Z26" s="51">
        <f>COUNTIFS($C$5:$C$65,"F",$N$5:$N$65,"Si")</f>
        <v>7</v>
      </c>
      <c r="AA26" s="126"/>
      <c r="AB26" s="6" t="s">
        <v>115</v>
      </c>
      <c r="AC26" s="57">
        <f>COUNTIFS($C$5:$C$65,"F",$N$5:$N$65,"No")</f>
        <v>8</v>
      </c>
      <c r="AD26" s="126"/>
      <c r="AE26" s="6" t="s">
        <v>5</v>
      </c>
      <c r="AF26" s="6">
        <f>COUNTIFS($E$5:$E$65,"1",$N$5:$N$65,"No")</f>
        <v>2</v>
      </c>
      <c r="AG26" s="39" t="s">
        <v>8</v>
      </c>
      <c r="AH26" s="6">
        <f>COUNTIFS($H$5:$H$65,"1",$N$5:$N$65,"No")</f>
        <v>4</v>
      </c>
      <c r="AI26" s="6"/>
      <c r="AJ26" s="51"/>
      <c r="AK26" s="50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5.75" thickBot="1" x14ac:dyDescent="0.3">
      <c r="A27" s="3">
        <v>23</v>
      </c>
      <c r="B27" s="29">
        <v>42930</v>
      </c>
      <c r="C27" s="28" t="s">
        <v>30</v>
      </c>
      <c r="D27" s="28"/>
      <c r="E27" s="28"/>
      <c r="F27" s="28"/>
      <c r="G27" s="28"/>
      <c r="H27" s="28"/>
      <c r="I27" s="28" t="s">
        <v>29</v>
      </c>
      <c r="J27" s="33" t="s">
        <v>83</v>
      </c>
      <c r="K27" s="28" t="s">
        <v>81</v>
      </c>
      <c r="L27" s="28" t="s">
        <v>25</v>
      </c>
      <c r="M27" s="28" t="s">
        <v>25</v>
      </c>
      <c r="N27" s="28" t="s">
        <v>25</v>
      </c>
      <c r="O27" s="28" t="s">
        <v>25</v>
      </c>
      <c r="P27" s="28" t="s">
        <v>25</v>
      </c>
      <c r="Q27" s="28" t="s">
        <v>27</v>
      </c>
      <c r="R27" s="28" t="s">
        <v>20</v>
      </c>
      <c r="S27" s="28" t="s">
        <v>25</v>
      </c>
      <c r="U27" s="110"/>
      <c r="V27" s="13" t="s">
        <v>29</v>
      </c>
      <c r="W27" s="16">
        <f>+COUNTIF(N5:N65,"Blanco")</f>
        <v>0</v>
      </c>
      <c r="X27" s="127"/>
      <c r="Y27" s="26" t="s">
        <v>29</v>
      </c>
      <c r="Z27" s="52">
        <f>COUNTIFS($C$5:$C$65,"Blanco",$N$5:N65,"Si")</f>
        <v>1</v>
      </c>
      <c r="AA27" s="127"/>
      <c r="AB27" s="26" t="s">
        <v>29</v>
      </c>
      <c r="AC27" s="58">
        <f>COUNTIFS($C$5:$C$65,"Blanco",$N$5:$N$65,"No")</f>
        <v>1</v>
      </c>
      <c r="AD27" s="127"/>
      <c r="AE27" s="26" t="s">
        <v>6</v>
      </c>
      <c r="AF27" s="26">
        <f>COUNTIFS($F$5:$F$65,"1",$N$5:$N$65,"No")</f>
        <v>1</v>
      </c>
      <c r="AG27" s="26" t="s">
        <v>9</v>
      </c>
      <c r="AH27" s="26">
        <f>COUNTIFS($I$5:$I$65,"1",$N$5:$N$65,"No")</f>
        <v>3</v>
      </c>
      <c r="AI27" s="26"/>
      <c r="AJ27" s="52"/>
      <c r="AK27" s="50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x14ac:dyDescent="0.25">
      <c r="A28" s="3">
        <v>24</v>
      </c>
      <c r="B28" s="29">
        <v>42935</v>
      </c>
      <c r="C28" s="28" t="s">
        <v>23</v>
      </c>
      <c r="D28" s="28"/>
      <c r="E28" s="28"/>
      <c r="F28" s="28"/>
      <c r="G28" s="28"/>
      <c r="H28" s="28"/>
      <c r="I28" s="28" t="s">
        <v>29</v>
      </c>
      <c r="J28" s="33" t="s">
        <v>83</v>
      </c>
      <c r="K28" s="28" t="s">
        <v>81</v>
      </c>
      <c r="L28" s="28" t="s">
        <v>20</v>
      </c>
      <c r="M28" s="28" t="s">
        <v>20</v>
      </c>
      <c r="N28" s="28" t="s">
        <v>20</v>
      </c>
      <c r="O28" s="28" t="s">
        <v>20</v>
      </c>
      <c r="P28" s="28" t="s">
        <v>20</v>
      </c>
      <c r="Q28" s="28" t="s">
        <v>27</v>
      </c>
      <c r="R28" s="28" t="s">
        <v>20</v>
      </c>
      <c r="S28" s="28" t="s">
        <v>20</v>
      </c>
      <c r="U28" s="137" t="s">
        <v>39</v>
      </c>
      <c r="V28" s="12" t="s">
        <v>20</v>
      </c>
      <c r="W28" s="14">
        <f>+COUNTIF(O5:O65,"Si")</f>
        <v>19</v>
      </c>
      <c r="X28" s="125" t="s">
        <v>118</v>
      </c>
      <c r="Y28" s="48" t="s">
        <v>114</v>
      </c>
      <c r="Z28" s="49">
        <f>COUNTIFS($C$5:$C$65,"M",$O$5:O65,"Si")</f>
        <v>11</v>
      </c>
      <c r="AA28" s="128" t="s">
        <v>117</v>
      </c>
      <c r="AB28" s="19" t="s">
        <v>114</v>
      </c>
      <c r="AC28" s="65">
        <f>COUNTIFS($C$5:$C$65,"M",$O$5:$O$65,"No")</f>
        <v>8</v>
      </c>
      <c r="AD28" s="128" t="s">
        <v>117</v>
      </c>
      <c r="AE28" s="19" t="s">
        <v>4</v>
      </c>
      <c r="AF28" s="19">
        <f>COUNTIFS($D$5:$D$65,"1",$O$5:$O$65,"No")</f>
        <v>2</v>
      </c>
      <c r="AG28" s="19" t="s">
        <v>7</v>
      </c>
      <c r="AH28" s="19">
        <f>COUNTIFS($G$5:$G$65,"1",$O$5:$O$65,"No")</f>
        <v>2</v>
      </c>
      <c r="AI28" s="19" t="s">
        <v>29</v>
      </c>
      <c r="AJ28" s="66">
        <f>COUNTIFS($I$5:$I$65,"Blanco",$O$5:$O$65,"No")</f>
        <v>3</v>
      </c>
      <c r="AK28" s="50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x14ac:dyDescent="0.25">
      <c r="A29" s="3">
        <v>25</v>
      </c>
      <c r="B29" s="29">
        <v>42943</v>
      </c>
      <c r="C29" s="28" t="s">
        <v>30</v>
      </c>
      <c r="D29" s="28"/>
      <c r="E29" s="28"/>
      <c r="F29" s="28"/>
      <c r="G29" s="28">
        <v>1</v>
      </c>
      <c r="H29" s="28"/>
      <c r="I29" s="28"/>
      <c r="J29" s="33" t="s">
        <v>83</v>
      </c>
      <c r="K29" s="28" t="s">
        <v>81</v>
      </c>
      <c r="L29" s="28" t="s">
        <v>20</v>
      </c>
      <c r="M29" s="28" t="s">
        <v>20</v>
      </c>
      <c r="N29" s="28" t="s">
        <v>20</v>
      </c>
      <c r="O29" s="28" t="s">
        <v>20</v>
      </c>
      <c r="P29" s="28" t="s">
        <v>20</v>
      </c>
      <c r="Q29" s="28" t="s">
        <v>27</v>
      </c>
      <c r="R29" s="28" t="s">
        <v>20</v>
      </c>
      <c r="S29" s="28" t="s">
        <v>25</v>
      </c>
      <c r="U29" s="109"/>
      <c r="V29" s="9" t="s">
        <v>25</v>
      </c>
      <c r="W29" s="15">
        <f>+COUNTIF(O5:O65,"No")</f>
        <v>17</v>
      </c>
      <c r="X29" s="126"/>
      <c r="Y29" s="6" t="s">
        <v>115</v>
      </c>
      <c r="Z29" s="51">
        <f>COUNTIFS($C$5:$C$65,"F",$O$5:$O$65,"Si")</f>
        <v>7</v>
      </c>
      <c r="AA29" s="129"/>
      <c r="AB29" s="35" t="s">
        <v>115</v>
      </c>
      <c r="AC29" s="67">
        <f>COUNTIFS($C$2:$C$65,"F",$O$2:$O$65,"No")</f>
        <v>8</v>
      </c>
      <c r="AD29" s="129"/>
      <c r="AE29" s="35" t="s">
        <v>5</v>
      </c>
      <c r="AF29" s="35">
        <f>COUNTIFS($E$5:$E$65,"1",$O$5:$O$65,"No")</f>
        <v>2</v>
      </c>
      <c r="AG29" s="9" t="s">
        <v>8</v>
      </c>
      <c r="AH29" s="35">
        <f>COUNTIFS($H$5:$H$65,"1",$O$5:$O$65,"No")</f>
        <v>4</v>
      </c>
      <c r="AI29" s="35"/>
      <c r="AJ29" s="68"/>
      <c r="AK29" s="50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5.75" thickBot="1" x14ac:dyDescent="0.3">
      <c r="A30" s="3">
        <v>26</v>
      </c>
      <c r="B30" s="29">
        <v>42937</v>
      </c>
      <c r="C30" s="28" t="s">
        <v>23</v>
      </c>
      <c r="D30" s="28">
        <v>1</v>
      </c>
      <c r="E30" s="28"/>
      <c r="F30" s="28"/>
      <c r="G30" s="28"/>
      <c r="H30" s="28"/>
      <c r="I30" s="28"/>
      <c r="J30" s="33" t="s">
        <v>83</v>
      </c>
      <c r="K30" s="28" t="s">
        <v>81</v>
      </c>
      <c r="L30" s="28" t="s">
        <v>20</v>
      </c>
      <c r="M30" s="28" t="s">
        <v>20</v>
      </c>
      <c r="N30" s="28" t="s">
        <v>20</v>
      </c>
      <c r="O30" s="28" t="s">
        <v>25</v>
      </c>
      <c r="P30" s="28" t="s">
        <v>25</v>
      </c>
      <c r="Q30" s="28" t="s">
        <v>27</v>
      </c>
      <c r="R30" s="28" t="s">
        <v>25</v>
      </c>
      <c r="S30" s="28" t="s">
        <v>20</v>
      </c>
      <c r="U30" s="110"/>
      <c r="V30" s="13" t="s">
        <v>29</v>
      </c>
      <c r="W30" s="16">
        <f>+COUNTIF(O5:O65,"Blanco")</f>
        <v>0</v>
      </c>
      <c r="X30" s="127"/>
      <c r="Y30" s="26" t="s">
        <v>29</v>
      </c>
      <c r="Z30" s="52">
        <f>COUNTIFS($C$5:$C$65,"Blanco",$O$5:$O$65,"Si")</f>
        <v>1</v>
      </c>
      <c r="AA30" s="130"/>
      <c r="AB30" s="27" t="s">
        <v>29</v>
      </c>
      <c r="AC30" s="69">
        <f>COUNTIFS($C$2:$C$65,"Blanco",$O$2:$O$65,"No")</f>
        <v>1</v>
      </c>
      <c r="AD30" s="130"/>
      <c r="AE30" s="27" t="s">
        <v>6</v>
      </c>
      <c r="AF30" s="27">
        <f>COUNTIFS($F$5:$F$65,"1",$O$5:$O$65,"No")</f>
        <v>1</v>
      </c>
      <c r="AG30" s="27" t="s">
        <v>9</v>
      </c>
      <c r="AH30" s="27">
        <f>COUNTIFS($I$5:$I$65,"1",$O$5:$O$65,"No")</f>
        <v>3</v>
      </c>
      <c r="AI30" s="27"/>
      <c r="AJ30" s="70"/>
      <c r="AK30" s="50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x14ac:dyDescent="0.25">
      <c r="A31" s="3">
        <v>27</v>
      </c>
      <c r="B31" s="29">
        <v>42943</v>
      </c>
      <c r="C31" s="28" t="s">
        <v>23</v>
      </c>
      <c r="D31" s="28"/>
      <c r="E31" s="28">
        <v>1</v>
      </c>
      <c r="F31" s="28"/>
      <c r="G31" s="28"/>
      <c r="H31" s="28"/>
      <c r="I31" s="28"/>
      <c r="J31" s="33" t="s">
        <v>83</v>
      </c>
      <c r="K31" s="28" t="s">
        <v>81</v>
      </c>
      <c r="L31" s="28" t="s">
        <v>20</v>
      </c>
      <c r="M31" s="28" t="s">
        <v>20</v>
      </c>
      <c r="N31" s="28" t="s">
        <v>25</v>
      </c>
      <c r="O31" s="28" t="s">
        <v>25</v>
      </c>
      <c r="P31" s="28" t="s">
        <v>25</v>
      </c>
      <c r="Q31" s="28" t="s">
        <v>27</v>
      </c>
      <c r="R31" s="28" t="s">
        <v>25</v>
      </c>
      <c r="S31" s="28" t="s">
        <v>25</v>
      </c>
      <c r="U31" s="137" t="s">
        <v>40</v>
      </c>
      <c r="V31" s="12" t="s">
        <v>20</v>
      </c>
      <c r="W31" s="14">
        <f>+COUNTIF(P5:P65,"Si")</f>
        <v>9</v>
      </c>
      <c r="X31" s="125" t="s">
        <v>118</v>
      </c>
      <c r="Y31" s="48" t="s">
        <v>114</v>
      </c>
      <c r="Z31" s="49">
        <f>COUNTIFS($C$5:$C$65,"M",$P$5:$P$65,"Si")</f>
        <v>5</v>
      </c>
      <c r="AA31" s="128" t="s">
        <v>117</v>
      </c>
      <c r="AB31" s="19" t="s">
        <v>114</v>
      </c>
      <c r="AC31" s="65">
        <f>COUNTIFS($C$5:$C$65,"M",$P$5:$P$65,"No")</f>
        <v>14</v>
      </c>
      <c r="AD31" s="128" t="s">
        <v>117</v>
      </c>
      <c r="AE31" s="19" t="s">
        <v>4</v>
      </c>
      <c r="AF31" s="19">
        <f>COUNTIFS($D$5:$D$65,"1",$P$5:$P$65,"No")</f>
        <v>3</v>
      </c>
      <c r="AG31" s="19" t="s">
        <v>7</v>
      </c>
      <c r="AH31" s="19">
        <f>COUNTIFS($G$5:$G$65,"1",$P$5:$P$65,"No")</f>
        <v>4</v>
      </c>
      <c r="AI31" s="19" t="s">
        <v>29</v>
      </c>
      <c r="AJ31" s="66">
        <f>COUNTIFS($I$5:$I$65,"Blanco",$P$5:$P$65,"No")</f>
        <v>7</v>
      </c>
      <c r="AK31" s="50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x14ac:dyDescent="0.25">
      <c r="A32" s="3">
        <v>28</v>
      </c>
      <c r="B32" s="29">
        <v>42920</v>
      </c>
      <c r="C32" s="28" t="s">
        <v>30</v>
      </c>
      <c r="D32" s="28"/>
      <c r="E32" s="28"/>
      <c r="F32" s="28"/>
      <c r="G32" s="28"/>
      <c r="H32" s="28"/>
      <c r="I32" s="28" t="s">
        <v>29</v>
      </c>
      <c r="J32" s="33" t="s">
        <v>83</v>
      </c>
      <c r="K32" s="28" t="s">
        <v>81</v>
      </c>
      <c r="L32" s="28" t="s">
        <v>20</v>
      </c>
      <c r="M32" s="28" t="s">
        <v>20</v>
      </c>
      <c r="N32" s="28" t="s">
        <v>20</v>
      </c>
      <c r="O32" s="28" t="s">
        <v>20</v>
      </c>
      <c r="P32" s="28" t="s">
        <v>25</v>
      </c>
      <c r="Q32" s="28" t="s">
        <v>27</v>
      </c>
      <c r="R32" s="28" t="s">
        <v>20</v>
      </c>
      <c r="S32" s="28" t="s">
        <v>20</v>
      </c>
      <c r="U32" s="109"/>
      <c r="V32" s="9" t="s">
        <v>25</v>
      </c>
      <c r="W32" s="15">
        <f>+COUNTIF(P5:P65,"No")</f>
        <v>27</v>
      </c>
      <c r="X32" s="126"/>
      <c r="Y32" s="6" t="s">
        <v>115</v>
      </c>
      <c r="Z32" s="51">
        <f>COUNTIFS($C$5:$C$65,"F",$P$5:$P$65,"Si")</f>
        <v>4</v>
      </c>
      <c r="AA32" s="129"/>
      <c r="AB32" s="35" t="s">
        <v>115</v>
      </c>
      <c r="AC32" s="67">
        <f>COUNTIFS($C$5:$C$65,"F",$P$5:$P$65,"NO")</f>
        <v>11</v>
      </c>
      <c r="AD32" s="129"/>
      <c r="AE32" s="35" t="s">
        <v>5</v>
      </c>
      <c r="AF32" s="35">
        <f>COUNTIFS($E$5:$E$65,"1",$P$5:$P$65,"No")</f>
        <v>4</v>
      </c>
      <c r="AG32" s="9" t="s">
        <v>8</v>
      </c>
      <c r="AH32" s="35">
        <f>COUNTIFS($H$5:$H$65,"1",$P$5:$P$65,"No")</f>
        <v>4</v>
      </c>
      <c r="AI32" s="35"/>
      <c r="AJ32" s="68"/>
      <c r="AK32" s="50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5.75" thickBot="1" x14ac:dyDescent="0.3">
      <c r="A33" s="3">
        <v>29</v>
      </c>
      <c r="B33" s="29">
        <v>42930</v>
      </c>
      <c r="C33" s="28" t="s">
        <v>23</v>
      </c>
      <c r="D33" s="28"/>
      <c r="E33" s="28"/>
      <c r="F33" s="28"/>
      <c r="G33" s="28"/>
      <c r="H33" s="28"/>
      <c r="I33" s="28" t="s">
        <v>29</v>
      </c>
      <c r="J33" s="33" t="s">
        <v>83</v>
      </c>
      <c r="K33" s="28" t="s">
        <v>81</v>
      </c>
      <c r="L33" s="28" t="s">
        <v>20</v>
      </c>
      <c r="M33" s="28" t="s">
        <v>20</v>
      </c>
      <c r="N33" s="28" t="s">
        <v>20</v>
      </c>
      <c r="O33" s="28" t="s">
        <v>20</v>
      </c>
      <c r="P33" s="28" t="s">
        <v>25</v>
      </c>
      <c r="Q33" s="28" t="s">
        <v>26</v>
      </c>
      <c r="R33" s="28" t="s">
        <v>20</v>
      </c>
      <c r="S33" s="28" t="s">
        <v>25</v>
      </c>
      <c r="U33" s="110"/>
      <c r="V33" s="13" t="s">
        <v>29</v>
      </c>
      <c r="W33" s="16">
        <f>+COUNTIF(P5:P65,"Blanco")</f>
        <v>0</v>
      </c>
      <c r="X33" s="154"/>
      <c r="Y33" s="34" t="s">
        <v>29</v>
      </c>
      <c r="Z33" s="53">
        <f>COUNTIFS($C$5:$C$65,"Blanco",$P$5:$P$65,"Si")</f>
        <v>0</v>
      </c>
      <c r="AA33" s="153"/>
      <c r="AB33" s="71" t="s">
        <v>29</v>
      </c>
      <c r="AC33" s="72">
        <f>COUNTIFS($C$5:$C$65,"Blanco",$P$5:$P$65,"No")</f>
        <v>2</v>
      </c>
      <c r="AD33" s="130"/>
      <c r="AE33" s="27" t="s">
        <v>6</v>
      </c>
      <c r="AF33" s="27">
        <f>COUNTIFS($F$5:$F$65,"1",$P$5:$P$65,"No")</f>
        <v>1</v>
      </c>
      <c r="AG33" s="71" t="s">
        <v>9</v>
      </c>
      <c r="AH33" s="71">
        <f>COUNTIFS($I$5:$I$65,"1",$P$5:$P$65,"No")</f>
        <v>4</v>
      </c>
      <c r="AI33" s="71"/>
      <c r="AJ33" s="73"/>
      <c r="AK33" s="5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</row>
    <row r="34" spans="1:50" x14ac:dyDescent="0.25">
      <c r="A34" s="3">
        <v>30</v>
      </c>
      <c r="B34" s="29">
        <v>42935</v>
      </c>
      <c r="C34" s="28" t="s">
        <v>23</v>
      </c>
      <c r="D34" s="28"/>
      <c r="E34" s="28"/>
      <c r="F34" s="28"/>
      <c r="G34" s="28"/>
      <c r="H34" s="28">
        <v>1</v>
      </c>
      <c r="I34" s="28"/>
      <c r="J34" s="33" t="s">
        <v>83</v>
      </c>
      <c r="K34" s="28" t="s">
        <v>81</v>
      </c>
      <c r="L34" s="28" t="s">
        <v>20</v>
      </c>
      <c r="M34" s="28" t="s">
        <v>25</v>
      </c>
      <c r="N34" s="28" t="s">
        <v>25</v>
      </c>
      <c r="O34" s="28" t="s">
        <v>25</v>
      </c>
      <c r="P34" s="28" t="s">
        <v>25</v>
      </c>
      <c r="Q34" s="28" t="s">
        <v>27</v>
      </c>
      <c r="R34" s="28" t="s">
        <v>20</v>
      </c>
      <c r="S34" s="28" t="s">
        <v>25</v>
      </c>
      <c r="U34" s="137" t="s">
        <v>41</v>
      </c>
      <c r="V34" s="12" t="s">
        <v>27</v>
      </c>
      <c r="W34" s="14">
        <f>+COUNTIF(Q5:Q65,"Elevada")</f>
        <v>21</v>
      </c>
      <c r="X34" s="125" t="s">
        <v>116</v>
      </c>
      <c r="Y34" s="48" t="s">
        <v>114</v>
      </c>
      <c r="Z34" s="49">
        <f>COUNTIFS($C$5:$C$65,"M",$Q$5:$Q$65,"Elevada")</f>
        <v>11</v>
      </c>
      <c r="AA34" s="125" t="s">
        <v>119</v>
      </c>
      <c r="AB34" s="48" t="s">
        <v>114</v>
      </c>
      <c r="AC34" s="49">
        <f>COUNTIFS($C$5:$C$65,"M",$Q$5:$Q$65,"Alguna")</f>
        <v>5</v>
      </c>
      <c r="AD34" s="125" t="s">
        <v>120</v>
      </c>
      <c r="AE34" s="48" t="s">
        <v>114</v>
      </c>
      <c r="AF34" s="49">
        <f>COUNTIFS($C$5:$C$65,"M",$Q$5:$Q$65,"Poca")</f>
        <v>2</v>
      </c>
      <c r="AG34" s="125" t="s">
        <v>121</v>
      </c>
      <c r="AH34" s="48" t="s">
        <v>114</v>
      </c>
      <c r="AI34" s="55">
        <f>COUNTIFS($C$5:$C$65,"M",$Q$5:$Q$65,"Ninguna")</f>
        <v>1</v>
      </c>
      <c r="AJ34" s="55"/>
      <c r="AK34" s="125" t="s">
        <v>122</v>
      </c>
      <c r="AL34" s="56" t="s">
        <v>4</v>
      </c>
      <c r="AM34" s="48">
        <f>COUNTIFS($D$5:$D$65,"1",$Q$5:$Q$65,"Elevada")</f>
        <v>2</v>
      </c>
      <c r="AN34" s="48" t="s">
        <v>7</v>
      </c>
      <c r="AO34" s="48">
        <f>COUNTIFS($G$5:$G$65,"1",$Q$5:$Q$65,"Elevada")</f>
        <v>3</v>
      </c>
      <c r="AP34" s="48" t="s">
        <v>29</v>
      </c>
      <c r="AQ34" s="49">
        <f>COUNTIFS($I$5:$I$65,"Blanco",$Q$5:$Q$65,"Elevada")</f>
        <v>6</v>
      </c>
      <c r="AR34" s="125" t="s">
        <v>119</v>
      </c>
      <c r="AS34" s="48" t="s">
        <v>4</v>
      </c>
      <c r="AT34" s="48">
        <f>COUNTIFS($D$5:$D$65,"1",$Q$5:$Q$65,"Alguna")</f>
        <v>0</v>
      </c>
      <c r="AU34" s="48" t="s">
        <v>7</v>
      </c>
      <c r="AV34" s="48">
        <f>COUNTIFS($G$5:$G$65,"1",$Q$5:$Q$65,"Alguna")</f>
        <v>2</v>
      </c>
      <c r="AW34" s="48" t="s">
        <v>29</v>
      </c>
      <c r="AX34" s="49">
        <f>COUNTIFS($I$5:$I$65,"Blanco",$Q$5:$Q$65,"Alguna")</f>
        <v>1</v>
      </c>
    </row>
    <row r="35" spans="1:50" x14ac:dyDescent="0.25">
      <c r="A35" s="3">
        <v>31</v>
      </c>
      <c r="B35" s="29">
        <v>42943</v>
      </c>
      <c r="C35" s="28" t="s">
        <v>30</v>
      </c>
      <c r="D35" s="28"/>
      <c r="E35" s="28"/>
      <c r="F35" s="28"/>
      <c r="G35" s="28"/>
      <c r="H35" s="28"/>
      <c r="I35" s="28">
        <v>1</v>
      </c>
      <c r="J35" s="33" t="s">
        <v>83</v>
      </c>
      <c r="K35" s="28" t="s">
        <v>81</v>
      </c>
      <c r="L35" s="28" t="s">
        <v>20</v>
      </c>
      <c r="M35" s="28" t="s">
        <v>20</v>
      </c>
      <c r="N35" s="28" t="s">
        <v>25</v>
      </c>
      <c r="O35" s="28" t="s">
        <v>25</v>
      </c>
      <c r="P35" s="28" t="s">
        <v>25</v>
      </c>
      <c r="Q35" s="28" t="s">
        <v>26</v>
      </c>
      <c r="R35" s="28" t="s">
        <v>25</v>
      </c>
      <c r="S35" s="28" t="s">
        <v>20</v>
      </c>
      <c r="U35" s="109"/>
      <c r="V35" s="9" t="s">
        <v>28</v>
      </c>
      <c r="W35" s="15">
        <f>+COUNTIF(Q5:Q65,"Alguna")</f>
        <v>10</v>
      </c>
      <c r="X35" s="126"/>
      <c r="Y35" s="6" t="s">
        <v>115</v>
      </c>
      <c r="Z35" s="51">
        <f>COUNTIFS($C$5:$C$65,"F",$Q$5:$Q$65,"Elevada")</f>
        <v>8</v>
      </c>
      <c r="AA35" s="126"/>
      <c r="AB35" s="6" t="s">
        <v>115</v>
      </c>
      <c r="AC35" s="51">
        <f>COUNTIFS($C$5:$C$65,"F",$Q$5:$Q$65,"Alguna")</f>
        <v>5</v>
      </c>
      <c r="AD35" s="126"/>
      <c r="AE35" s="6" t="s">
        <v>115</v>
      </c>
      <c r="AF35" s="51">
        <f>COUNTIFS($C$5:$C$65,"F",$Q$5:$Q$65,"Poca")</f>
        <v>2</v>
      </c>
      <c r="AG35" s="126"/>
      <c r="AH35" s="6" t="s">
        <v>115</v>
      </c>
      <c r="AI35" s="57">
        <f>COUNTIFS($C$5:$C$65,"F",$Q$5:$Q$65,"Ninguna")</f>
        <v>0</v>
      </c>
      <c r="AJ35" s="57"/>
      <c r="AK35" s="126"/>
      <c r="AL35" s="50" t="s">
        <v>5</v>
      </c>
      <c r="AM35" s="6">
        <f>COUNTIFS($E$5:$E$65,"1",$Q$5:$Q$65,"Elevada")</f>
        <v>2</v>
      </c>
      <c r="AN35" s="39" t="s">
        <v>8</v>
      </c>
      <c r="AO35" s="6">
        <f>COUNTIFS($H$5:$H$65,"1",$Q$5:$Q$65,"Elevada")</f>
        <v>5</v>
      </c>
      <c r="AP35" s="6"/>
      <c r="AQ35" s="51"/>
      <c r="AR35" s="126"/>
      <c r="AS35" s="6" t="s">
        <v>5</v>
      </c>
      <c r="AT35" s="6">
        <f>COUNTIFS($E$5:$E$65,"1",$Q$5:$Q$65,"Alguna")</f>
        <v>2</v>
      </c>
      <c r="AU35" s="39" t="s">
        <v>8</v>
      </c>
      <c r="AV35" s="6">
        <f>COUNTIFS($H$5:$H$65,"1",$Q$5:$Q$65,"Alguna")</f>
        <v>2</v>
      </c>
      <c r="AW35" s="6"/>
      <c r="AX35" s="51"/>
    </row>
    <row r="36" spans="1:50" ht="15.75" thickBot="1" x14ac:dyDescent="0.3">
      <c r="A36" s="3">
        <v>32</v>
      </c>
      <c r="B36" s="29">
        <v>42943</v>
      </c>
      <c r="C36" s="28" t="s">
        <v>30</v>
      </c>
      <c r="D36" s="28"/>
      <c r="E36" s="28"/>
      <c r="F36" s="28"/>
      <c r="G36" s="28"/>
      <c r="H36" s="28"/>
      <c r="I36" s="28" t="s">
        <v>29</v>
      </c>
      <c r="J36" s="33" t="s">
        <v>83</v>
      </c>
      <c r="K36" s="28" t="s">
        <v>81</v>
      </c>
      <c r="L36" s="28" t="s">
        <v>20</v>
      </c>
      <c r="M36" s="28" t="s">
        <v>20</v>
      </c>
      <c r="N36" s="28" t="s">
        <v>25</v>
      </c>
      <c r="O36" s="28" t="s">
        <v>20</v>
      </c>
      <c r="P36" s="28" t="s">
        <v>25</v>
      </c>
      <c r="Q36" s="28" t="s">
        <v>27</v>
      </c>
      <c r="R36" s="28" t="s">
        <v>20</v>
      </c>
      <c r="S36" s="28" t="s">
        <v>25</v>
      </c>
      <c r="U36" s="109"/>
      <c r="V36" s="9" t="s">
        <v>26</v>
      </c>
      <c r="W36" s="15">
        <f>+COUNTIF(Q5:Q65,"Poca")</f>
        <v>4</v>
      </c>
      <c r="X36" s="127"/>
      <c r="Y36" s="26" t="s">
        <v>29</v>
      </c>
      <c r="Z36" s="52">
        <f>COUNTIFS($C$5:$C$65,"Blanco",Q5:Q65,"Elevada")</f>
        <v>2</v>
      </c>
      <c r="AA36" s="127"/>
      <c r="AB36" s="26" t="s">
        <v>29</v>
      </c>
      <c r="AC36" s="52">
        <f>COUNTIFS($C$5:$C$65,"Blanco",$Q$5:$Q$65,"Alguna")</f>
        <v>0</v>
      </c>
      <c r="AD36" s="127"/>
      <c r="AE36" s="26" t="s">
        <v>29</v>
      </c>
      <c r="AF36" s="52">
        <f>COUNTIFS($C$5:$C$65,"Blanco",$Q$5:$Q$65,"Poca")</f>
        <v>0</v>
      </c>
      <c r="AG36" s="127"/>
      <c r="AH36" s="26" t="s">
        <v>29</v>
      </c>
      <c r="AI36" s="58">
        <f>COUNTIFS($C$5:$C$65,"Blanco",$Q$5:$Q$65,"Ninguna")</f>
        <v>0</v>
      </c>
      <c r="AJ36" s="58"/>
      <c r="AK36" s="127"/>
      <c r="AL36" s="59" t="s">
        <v>6</v>
      </c>
      <c r="AM36" s="26">
        <f>COUNTIFS($F$5:$F$65,"1",$Q$5:$Q$65,"Elevada")</f>
        <v>1</v>
      </c>
      <c r="AN36" s="26" t="s">
        <v>9</v>
      </c>
      <c r="AO36" s="26">
        <f>COUNTIFS(I5:$I$65,"1",$Q$5:$Q$65,"Elevada")</f>
        <v>2</v>
      </c>
      <c r="AP36" s="26"/>
      <c r="AQ36" s="52"/>
      <c r="AR36" s="127"/>
      <c r="AS36" s="26" t="s">
        <v>6</v>
      </c>
      <c r="AT36" s="26">
        <f>COUNTIFS($F$5:$F$65,"1",$Q$5:$Q$65,"Alguna")</f>
        <v>1</v>
      </c>
      <c r="AU36" s="26" t="s">
        <v>9</v>
      </c>
      <c r="AV36" s="26">
        <f>COUNTIFS($I$5:$I$65,"1",$Q$5:$Q$65,"Alguna")</f>
        <v>2</v>
      </c>
      <c r="AW36" s="26"/>
      <c r="AX36" s="52"/>
    </row>
    <row r="37" spans="1:50" ht="15.75" thickBot="1" x14ac:dyDescent="0.3">
      <c r="A37" s="3">
        <v>33</v>
      </c>
      <c r="B37" s="29">
        <v>42934</v>
      </c>
      <c r="C37" s="28" t="s">
        <v>23</v>
      </c>
      <c r="D37" s="28"/>
      <c r="E37" s="28"/>
      <c r="F37" s="28"/>
      <c r="G37" s="28"/>
      <c r="H37" s="28"/>
      <c r="I37" s="28">
        <v>1</v>
      </c>
      <c r="J37" s="33" t="s">
        <v>83</v>
      </c>
      <c r="K37" s="28" t="s">
        <v>81</v>
      </c>
      <c r="L37" s="28" t="s">
        <v>20</v>
      </c>
      <c r="M37" s="28" t="s">
        <v>20</v>
      </c>
      <c r="N37" s="28" t="s">
        <v>25</v>
      </c>
      <c r="O37" s="28" t="s">
        <v>25</v>
      </c>
      <c r="P37" s="28" t="s">
        <v>25</v>
      </c>
      <c r="Q37" s="28" t="s">
        <v>28</v>
      </c>
      <c r="R37" s="28" t="s">
        <v>25</v>
      </c>
      <c r="S37" s="28" t="s">
        <v>20</v>
      </c>
      <c r="U37" s="110"/>
      <c r="V37" s="13" t="s">
        <v>34</v>
      </c>
      <c r="W37" s="16">
        <f>+COUNTIF(Q5:Q65,"Ninguna")</f>
        <v>1</v>
      </c>
      <c r="X37" s="47"/>
      <c r="Y37" s="60"/>
      <c r="Z37" s="62"/>
      <c r="AA37" s="63"/>
      <c r="AB37" s="60"/>
      <c r="AC37" s="64"/>
      <c r="AD37" s="60"/>
      <c r="AE37" s="60"/>
      <c r="AG37" s="60"/>
      <c r="AH37" s="60"/>
      <c r="AI37" s="60"/>
      <c r="AJ37" s="60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</row>
    <row r="38" spans="1:50" x14ac:dyDescent="0.25">
      <c r="A38" s="3">
        <v>34</v>
      </c>
      <c r="B38" s="29">
        <v>42928</v>
      </c>
      <c r="C38" s="28" t="s">
        <v>30</v>
      </c>
      <c r="D38" s="28"/>
      <c r="E38" s="28"/>
      <c r="F38" s="28">
        <v>1</v>
      </c>
      <c r="G38" s="28"/>
      <c r="H38" s="28"/>
      <c r="I38" s="28"/>
      <c r="J38" s="33" t="s">
        <v>83</v>
      </c>
      <c r="K38" s="28" t="s">
        <v>81</v>
      </c>
      <c r="L38" s="28" t="s">
        <v>20</v>
      </c>
      <c r="M38" s="28" t="s">
        <v>20</v>
      </c>
      <c r="N38" s="28" t="s">
        <v>25</v>
      </c>
      <c r="O38" s="28" t="s">
        <v>25</v>
      </c>
      <c r="P38" s="28" t="s">
        <v>25</v>
      </c>
      <c r="Q38" s="28" t="s">
        <v>28</v>
      </c>
      <c r="R38" s="28" t="s">
        <v>20</v>
      </c>
      <c r="S38" s="28" t="s">
        <v>20</v>
      </c>
      <c r="U38" s="137" t="s">
        <v>42</v>
      </c>
      <c r="V38" s="12" t="s">
        <v>20</v>
      </c>
      <c r="W38" s="14">
        <f>+COUNTIF(R5:R65,"Si")</f>
        <v>24</v>
      </c>
      <c r="X38" s="125" t="s">
        <v>118</v>
      </c>
      <c r="Y38" s="48" t="s">
        <v>114</v>
      </c>
      <c r="Z38" s="49">
        <f>COUNTIFS($C$5:$C$65,"M",$R$5:$R$65,"Si")</f>
        <v>15</v>
      </c>
      <c r="AA38" s="125" t="s">
        <v>117</v>
      </c>
      <c r="AB38" s="48" t="s">
        <v>114</v>
      </c>
      <c r="AC38" s="55">
        <f>COUNTIFS($C$5:$C$65,"M",$R$5:$R$65,"No")</f>
        <v>4</v>
      </c>
      <c r="AD38" s="125" t="s">
        <v>118</v>
      </c>
      <c r="AE38" s="48" t="s">
        <v>4</v>
      </c>
      <c r="AF38" s="48">
        <f>COUNTIFS($D$5:$D$65,"1",$R$5:$R$65,"Si")</f>
        <v>1</v>
      </c>
      <c r="AG38" s="48" t="s">
        <v>7</v>
      </c>
      <c r="AH38" s="48">
        <f>COUNTIFS($G$5:$G$65,"1",$R$5:$R$65,"Si")</f>
        <v>4</v>
      </c>
      <c r="AI38" s="48" t="s">
        <v>29</v>
      </c>
      <c r="AJ38" s="49">
        <f>COUNTIFS($I$5:$I$65,"Blanco",$R$5:$R$65,"Si")</f>
        <v>8</v>
      </c>
      <c r="AK38" s="50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x14ac:dyDescent="0.25">
      <c r="A39" s="3">
        <v>35</v>
      </c>
      <c r="B39" s="29">
        <v>42943</v>
      </c>
      <c r="C39" s="28" t="s">
        <v>30</v>
      </c>
      <c r="D39" s="28"/>
      <c r="E39" s="28">
        <v>1</v>
      </c>
      <c r="F39" s="28"/>
      <c r="G39" s="28"/>
      <c r="H39" s="28"/>
      <c r="I39" s="28"/>
      <c r="J39" s="33" t="s">
        <v>83</v>
      </c>
      <c r="K39" s="28" t="s">
        <v>81</v>
      </c>
      <c r="L39" s="28" t="s">
        <v>20</v>
      </c>
      <c r="M39" s="28" t="s">
        <v>20</v>
      </c>
      <c r="N39" s="28" t="s">
        <v>20</v>
      </c>
      <c r="O39" s="28" t="s">
        <v>20</v>
      </c>
      <c r="P39" s="28" t="s">
        <v>25</v>
      </c>
      <c r="Q39" s="28" t="s">
        <v>27</v>
      </c>
      <c r="R39" s="28" t="s">
        <v>20</v>
      </c>
      <c r="S39" s="28" t="s">
        <v>20</v>
      </c>
      <c r="U39" s="109"/>
      <c r="V39" s="9" t="s">
        <v>25</v>
      </c>
      <c r="W39" s="15">
        <f>+COUNTIF(R5:R65,"No")</f>
        <v>12</v>
      </c>
      <c r="X39" s="126"/>
      <c r="Y39" s="6" t="s">
        <v>115</v>
      </c>
      <c r="Z39" s="51">
        <f>COUNTIFS($C$5:$C$65,"F",$R$5:$R$65,"Si")</f>
        <v>8</v>
      </c>
      <c r="AA39" s="126"/>
      <c r="AB39" s="6" t="s">
        <v>115</v>
      </c>
      <c r="AC39" s="57">
        <f>COUNTIFS($C$5:$C$65,"F",$R$5:$R$65,"No")</f>
        <v>7</v>
      </c>
      <c r="AD39" s="126"/>
      <c r="AE39" s="6" t="s">
        <v>5</v>
      </c>
      <c r="AF39" s="6">
        <f>COUNTIFS($E$5:$E$65,"1",$R$5:$R$65,"Si")</f>
        <v>1</v>
      </c>
      <c r="AG39" s="39" t="s">
        <v>8</v>
      </c>
      <c r="AH39" s="6">
        <f>COUNTIFS($H$5:$H$65,"1",$R$5:$R$65,"Si")</f>
        <v>7</v>
      </c>
      <c r="AI39" s="6"/>
      <c r="AJ39" s="51"/>
      <c r="AK39" s="50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5.75" thickBot="1" x14ac:dyDescent="0.3">
      <c r="A40" s="3">
        <v>36</v>
      </c>
      <c r="B40" s="29">
        <v>42943</v>
      </c>
      <c r="C40" s="31" t="s">
        <v>30</v>
      </c>
      <c r="D40" s="28"/>
      <c r="E40" s="28"/>
      <c r="F40" s="28"/>
      <c r="G40" s="28"/>
      <c r="H40" s="28"/>
      <c r="I40" s="28" t="s">
        <v>29</v>
      </c>
      <c r="J40" s="33" t="s">
        <v>83</v>
      </c>
      <c r="K40" s="28" t="s">
        <v>81</v>
      </c>
      <c r="L40" s="31" t="s">
        <v>25</v>
      </c>
      <c r="M40" s="31" t="s">
        <v>20</v>
      </c>
      <c r="N40" s="31" t="s">
        <v>25</v>
      </c>
      <c r="O40" s="31" t="s">
        <v>25</v>
      </c>
      <c r="P40" s="31" t="s">
        <v>20</v>
      </c>
      <c r="Q40" s="31" t="s">
        <v>34</v>
      </c>
      <c r="R40" s="31" t="s">
        <v>20</v>
      </c>
      <c r="S40" s="31" t="s">
        <v>25</v>
      </c>
      <c r="U40" s="110"/>
      <c r="V40" s="13" t="s">
        <v>29</v>
      </c>
      <c r="W40" s="16">
        <f>+COUNTIF(R5:R65,"Blanco")</f>
        <v>0</v>
      </c>
      <c r="X40" s="127"/>
      <c r="Y40" s="26" t="s">
        <v>29</v>
      </c>
      <c r="Z40" s="52">
        <f>COUNTIFS($C$5:$C$65,"Blanco",$R$5:$R$65,"Si")</f>
        <v>1</v>
      </c>
      <c r="AA40" s="127"/>
      <c r="AB40" s="26" t="s">
        <v>29</v>
      </c>
      <c r="AC40" s="58">
        <f>COUNTIFS($C$5:$C$65,"Blanco",$R$5:$R$65,"No")</f>
        <v>1</v>
      </c>
      <c r="AD40" s="127"/>
      <c r="AE40" s="26" t="s">
        <v>6</v>
      </c>
      <c r="AF40" s="26">
        <f>COUNTIFS($F$5:$F$65,"1",$R$5:$R$65,"Si")</f>
        <v>2</v>
      </c>
      <c r="AG40" s="26" t="s">
        <v>9</v>
      </c>
      <c r="AH40" s="26">
        <f>COUNTIFS($I$5:$I$65,"1",$R$5:$R$65,"Si")</f>
        <v>1</v>
      </c>
      <c r="AI40" s="26"/>
      <c r="AJ40" s="52"/>
      <c r="AK40" s="50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x14ac:dyDescent="0.25">
      <c r="A41" s="3">
        <v>37</v>
      </c>
      <c r="B41" s="29"/>
      <c r="C41" s="31"/>
      <c r="D41" s="28"/>
      <c r="E41" s="28"/>
      <c r="F41" s="28"/>
      <c r="G41" s="28"/>
      <c r="H41" s="28"/>
      <c r="I41" s="28"/>
      <c r="J41" s="33"/>
      <c r="K41" s="28"/>
      <c r="L41" s="31"/>
      <c r="M41" s="31"/>
      <c r="N41" s="31"/>
      <c r="O41" s="31"/>
      <c r="P41" s="31"/>
      <c r="Q41" s="31"/>
      <c r="R41" s="31"/>
      <c r="S41" s="31"/>
      <c r="U41" s="137" t="s">
        <v>43</v>
      </c>
      <c r="V41" s="12" t="s">
        <v>20</v>
      </c>
      <c r="W41" s="14">
        <f>+COUNTIF(S5:S65,"Si")</f>
        <v>26</v>
      </c>
      <c r="X41" s="125" t="s">
        <v>118</v>
      </c>
      <c r="Y41" s="48" t="s">
        <v>114</v>
      </c>
      <c r="Z41" s="49">
        <f>COUNTIFS($C$5:$C$65,"M",$S$5:$S$65,"Si")</f>
        <v>14</v>
      </c>
      <c r="AA41" s="125" t="s">
        <v>117</v>
      </c>
      <c r="AB41" s="48" t="s">
        <v>114</v>
      </c>
      <c r="AC41" s="55">
        <f>COUNTIFS($C$5:$C$65,"M",$S$5:$S$65,"No")</f>
        <v>5</v>
      </c>
      <c r="AD41" s="125" t="s">
        <v>118</v>
      </c>
      <c r="AE41" s="48" t="s">
        <v>4</v>
      </c>
      <c r="AF41" s="48">
        <f>COUNTIFS($D$5:$D$65,"1",$S$5:$S$65,"Si")</f>
        <v>2</v>
      </c>
      <c r="AG41" s="48" t="s">
        <v>7</v>
      </c>
      <c r="AH41" s="48">
        <f>COUNTIFS($G$5:$G$65,"1",$S$5:$S$65,"Si")</f>
        <v>4</v>
      </c>
      <c r="AI41" s="48" t="s">
        <v>29</v>
      </c>
      <c r="AJ41" s="49">
        <f>COUNTIFS($I$5:$I$65,"Blanco",$S$5:$S$65,"Si")</f>
        <v>5</v>
      </c>
      <c r="AK41" s="50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x14ac:dyDescent="0.25">
      <c r="A42" s="3">
        <v>38</v>
      </c>
      <c r="B42" s="29"/>
      <c r="C42" s="28"/>
      <c r="D42" s="28"/>
      <c r="E42" s="28"/>
      <c r="F42" s="28"/>
      <c r="G42" s="28"/>
      <c r="H42" s="28"/>
      <c r="I42" s="28"/>
      <c r="J42" s="33"/>
      <c r="K42" s="28"/>
      <c r="L42" s="28"/>
      <c r="M42" s="28"/>
      <c r="N42" s="28"/>
      <c r="O42" s="28"/>
      <c r="P42" s="28"/>
      <c r="Q42" s="28"/>
      <c r="R42" s="28"/>
      <c r="S42" s="28"/>
      <c r="U42" s="109"/>
      <c r="V42" s="9" t="s">
        <v>25</v>
      </c>
      <c r="W42" s="15">
        <f>+COUNTIF(S5:S65,"No")</f>
        <v>10</v>
      </c>
      <c r="X42" s="126"/>
      <c r="Y42" s="6" t="s">
        <v>115</v>
      </c>
      <c r="Z42" s="51">
        <f>COUNTIFS($C$5:$C$65,"F",$S$5:$S$65,"Si")</f>
        <v>11</v>
      </c>
      <c r="AA42" s="126"/>
      <c r="AB42" s="6" t="s">
        <v>115</v>
      </c>
      <c r="AC42" s="57">
        <f>COUNTIFS($C$5:$C$65,"F",$S$5:$S$65,"No")</f>
        <v>4</v>
      </c>
      <c r="AD42" s="126"/>
      <c r="AE42" s="6" t="s">
        <v>5</v>
      </c>
      <c r="AF42" s="6">
        <f>COUNTIFS($E$5:$E$65,"1",$S$6:$S$66,"Si")</f>
        <v>3</v>
      </c>
      <c r="AG42" s="39" t="s">
        <v>8</v>
      </c>
      <c r="AH42" s="6">
        <f>COUNTIFS($H$5:$H$65,"1",$S$5:$S$65,"Si")</f>
        <v>6</v>
      </c>
      <c r="AI42" s="6"/>
      <c r="AJ42" s="51"/>
      <c r="AK42" s="50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5.75" thickBot="1" x14ac:dyDescent="0.3">
      <c r="A43" s="3">
        <v>39</v>
      </c>
      <c r="B43" s="29"/>
      <c r="C43" s="28"/>
      <c r="D43" s="28"/>
      <c r="E43" s="28"/>
      <c r="F43" s="28"/>
      <c r="G43" s="28"/>
      <c r="H43" s="28"/>
      <c r="I43" s="28"/>
      <c r="J43" s="33"/>
      <c r="K43" s="28"/>
      <c r="L43" s="28"/>
      <c r="M43" s="28"/>
      <c r="N43" s="28"/>
      <c r="O43" s="28"/>
      <c r="P43" s="28"/>
      <c r="Q43" s="28"/>
      <c r="R43" s="28"/>
      <c r="S43" s="28"/>
      <c r="U43" s="110"/>
      <c r="V43" s="13" t="s">
        <v>29</v>
      </c>
      <c r="W43" s="16">
        <f>+COUNTIF(S5:S65,"Blanco")</f>
        <v>0</v>
      </c>
      <c r="X43" s="127"/>
      <c r="Y43" s="26" t="s">
        <v>29</v>
      </c>
      <c r="Z43" s="52">
        <f>COUNTIFS($C$5:$C$65,"Blanco",$S$5:$S$65,"Si")</f>
        <v>1</v>
      </c>
      <c r="AA43" s="127"/>
      <c r="AB43" s="26" t="s">
        <v>29</v>
      </c>
      <c r="AC43" s="58">
        <f>COUNTIFS($C$5:$C$65,"Blanco",$S$5:$S$65,"No")</f>
        <v>1</v>
      </c>
      <c r="AD43" s="127"/>
      <c r="AE43" s="26" t="s">
        <v>6</v>
      </c>
      <c r="AF43" s="26">
        <f>COUNTIFS($F$5:$F$65,"1",$S$5:$S$65,"Si")</f>
        <v>2</v>
      </c>
      <c r="AG43" s="26" t="s">
        <v>9</v>
      </c>
      <c r="AH43" s="26">
        <f>COUNTIFS($I$5:$I$65,"1",$S$5:$S$65,"Si")</f>
        <v>5</v>
      </c>
      <c r="AI43" s="26"/>
      <c r="AJ43" s="52"/>
      <c r="AK43" s="50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x14ac:dyDescent="0.25">
      <c r="A44" s="3">
        <v>40</v>
      </c>
      <c r="B44" s="29"/>
      <c r="C44" s="28"/>
      <c r="D44" s="28"/>
      <c r="E44" s="28"/>
      <c r="F44" s="28"/>
      <c r="G44" s="28"/>
      <c r="H44" s="28"/>
      <c r="I44" s="28"/>
      <c r="J44" s="33"/>
      <c r="K44" s="28"/>
      <c r="L44" s="28"/>
      <c r="M44" s="28"/>
      <c r="N44" s="28"/>
      <c r="O44" s="28"/>
      <c r="P44" s="28"/>
      <c r="Q44" s="28"/>
      <c r="R44" s="28"/>
      <c r="S44" s="28"/>
    </row>
    <row r="45" spans="1:50" x14ac:dyDescent="0.25">
      <c r="A45" s="3">
        <v>41</v>
      </c>
      <c r="B45" s="29"/>
      <c r="C45" s="28"/>
      <c r="D45" s="28"/>
      <c r="E45" s="28"/>
      <c r="F45" s="28"/>
      <c r="G45" s="28"/>
      <c r="H45" s="28"/>
      <c r="I45" s="28"/>
      <c r="J45" s="33"/>
      <c r="K45" s="28"/>
      <c r="L45" s="28"/>
      <c r="M45" s="28"/>
      <c r="N45" s="28"/>
      <c r="O45" s="28"/>
      <c r="P45" s="28"/>
      <c r="Q45" s="28"/>
      <c r="R45" s="28"/>
      <c r="S45" s="28"/>
    </row>
    <row r="46" spans="1:50" x14ac:dyDescent="0.25">
      <c r="A46" s="3">
        <v>42</v>
      </c>
      <c r="B46" s="29"/>
      <c r="C46" s="28"/>
      <c r="D46" s="28"/>
      <c r="E46" s="28"/>
      <c r="F46" s="28"/>
      <c r="G46" s="28"/>
      <c r="H46" s="28"/>
      <c r="I46" s="28"/>
      <c r="J46" s="33"/>
      <c r="K46" s="28"/>
      <c r="L46" s="28"/>
      <c r="M46" s="28"/>
      <c r="N46" s="28"/>
      <c r="O46" s="28"/>
      <c r="P46" s="28"/>
      <c r="Q46" s="28"/>
      <c r="R46" s="28"/>
      <c r="S46" s="28"/>
    </row>
    <row r="47" spans="1:50" x14ac:dyDescent="0.25">
      <c r="A47" s="3">
        <v>43</v>
      </c>
      <c r="B47" s="29"/>
      <c r="C47" s="28"/>
      <c r="D47" s="28"/>
      <c r="E47" s="28"/>
      <c r="F47" s="28"/>
      <c r="G47" s="28"/>
      <c r="H47" s="28"/>
      <c r="I47" s="28"/>
      <c r="J47" s="33"/>
      <c r="K47" s="28"/>
      <c r="L47" s="28"/>
      <c r="M47" s="28"/>
      <c r="N47" s="28"/>
      <c r="O47" s="28"/>
      <c r="P47" s="28"/>
      <c r="Q47" s="28"/>
      <c r="R47" s="28"/>
      <c r="S47" s="28"/>
    </row>
    <row r="48" spans="1:50" x14ac:dyDescent="0.25">
      <c r="A48" s="3">
        <v>44</v>
      </c>
      <c r="B48" s="29"/>
      <c r="C48" s="28"/>
      <c r="D48" s="28"/>
      <c r="E48" s="28"/>
      <c r="F48" s="28"/>
      <c r="G48" s="28"/>
      <c r="H48" s="28"/>
      <c r="I48" s="28"/>
      <c r="J48" s="33"/>
      <c r="K48" s="28"/>
      <c r="L48" s="28"/>
      <c r="M48" s="28"/>
      <c r="N48" s="28"/>
      <c r="O48" s="28"/>
      <c r="P48" s="28"/>
      <c r="Q48" s="28"/>
      <c r="R48" s="28"/>
      <c r="S48" s="28"/>
    </row>
    <row r="49" spans="1:19" x14ac:dyDescent="0.25">
      <c r="A49" s="3">
        <v>45</v>
      </c>
      <c r="B49" s="29"/>
      <c r="C49" s="28"/>
      <c r="D49" s="28"/>
      <c r="E49" s="28"/>
      <c r="F49" s="28"/>
      <c r="G49" s="28"/>
      <c r="H49" s="28"/>
      <c r="I49" s="28"/>
      <c r="J49" s="33"/>
      <c r="K49" s="28"/>
      <c r="L49" s="28"/>
      <c r="M49" s="28"/>
      <c r="N49" s="28"/>
      <c r="O49" s="28"/>
      <c r="P49" s="28"/>
      <c r="Q49" s="28"/>
      <c r="R49" s="28"/>
      <c r="S49" s="28"/>
    </row>
    <row r="50" spans="1:19" x14ac:dyDescent="0.25">
      <c r="A50" s="3">
        <v>46</v>
      </c>
      <c r="B50" s="29"/>
      <c r="C50" s="28"/>
      <c r="D50" s="28"/>
      <c r="E50" s="28"/>
      <c r="F50" s="28"/>
      <c r="G50" s="28"/>
      <c r="H50" s="28"/>
      <c r="I50" s="28"/>
      <c r="J50" s="33"/>
      <c r="K50" s="28"/>
      <c r="L50" s="28"/>
      <c r="M50" s="28"/>
      <c r="N50" s="28"/>
      <c r="O50" s="28"/>
      <c r="P50" s="28"/>
      <c r="Q50" s="28"/>
      <c r="R50" s="28"/>
      <c r="S50" s="28"/>
    </row>
    <row r="51" spans="1:19" x14ac:dyDescent="0.25">
      <c r="A51" s="3">
        <v>47</v>
      </c>
      <c r="B51" s="29"/>
      <c r="C51" s="28"/>
      <c r="D51" s="28"/>
      <c r="E51" s="28"/>
      <c r="F51" s="28"/>
      <c r="G51" s="28"/>
      <c r="H51" s="28"/>
      <c r="I51" s="28"/>
      <c r="J51" s="33"/>
      <c r="K51" s="28"/>
      <c r="L51" s="28"/>
      <c r="M51" s="28"/>
      <c r="N51" s="28"/>
      <c r="O51" s="28"/>
      <c r="P51" s="28"/>
      <c r="Q51" s="28"/>
      <c r="R51" s="28"/>
      <c r="S51" s="28"/>
    </row>
    <row r="52" spans="1:19" x14ac:dyDescent="0.25">
      <c r="A52" s="3">
        <v>48</v>
      </c>
      <c r="B52" s="29"/>
      <c r="C52" s="28"/>
      <c r="D52" s="28"/>
      <c r="E52" s="28"/>
      <c r="F52" s="28"/>
      <c r="G52" s="28"/>
      <c r="H52" s="28"/>
      <c r="I52" s="28"/>
      <c r="J52" s="33"/>
      <c r="K52" s="28"/>
      <c r="L52" s="28"/>
      <c r="M52" s="28"/>
      <c r="N52" s="28"/>
      <c r="O52" s="28"/>
      <c r="P52" s="28"/>
      <c r="Q52" s="28"/>
      <c r="R52" s="28"/>
      <c r="S52" s="28"/>
    </row>
    <row r="53" spans="1:19" x14ac:dyDescent="0.25">
      <c r="A53" s="3">
        <v>49</v>
      </c>
      <c r="B53" s="29"/>
      <c r="C53" s="28"/>
      <c r="D53" s="28"/>
      <c r="E53" s="28"/>
      <c r="F53" s="28"/>
      <c r="G53" s="28"/>
      <c r="H53" s="28"/>
      <c r="I53" s="28"/>
      <c r="J53" s="33"/>
      <c r="K53" s="28"/>
      <c r="L53" s="28"/>
      <c r="M53" s="28"/>
      <c r="N53" s="28"/>
      <c r="O53" s="28"/>
      <c r="P53" s="28"/>
      <c r="Q53" s="28"/>
      <c r="R53" s="28"/>
      <c r="S53" s="28"/>
    </row>
    <row r="54" spans="1:19" x14ac:dyDescent="0.25">
      <c r="A54" s="3">
        <v>50</v>
      </c>
      <c r="B54" s="29"/>
      <c r="C54" s="28"/>
      <c r="D54" s="28"/>
      <c r="E54" s="28"/>
      <c r="F54" s="28"/>
      <c r="G54" s="28"/>
      <c r="H54" s="28"/>
      <c r="I54" s="28"/>
      <c r="J54" s="33"/>
      <c r="K54" s="28"/>
      <c r="L54" s="28"/>
      <c r="M54" s="28"/>
      <c r="N54" s="28"/>
      <c r="O54" s="28"/>
      <c r="P54" s="28"/>
      <c r="Q54" s="28"/>
      <c r="R54" s="28"/>
      <c r="S54" s="28"/>
    </row>
    <row r="55" spans="1:19" x14ac:dyDescent="0.25">
      <c r="A55" s="3">
        <v>51</v>
      </c>
      <c r="B55" s="29"/>
      <c r="C55" s="28"/>
      <c r="D55" s="28"/>
      <c r="E55" s="28"/>
      <c r="F55" s="28"/>
      <c r="G55" s="28"/>
      <c r="H55" s="28"/>
      <c r="I55" s="28"/>
      <c r="J55" s="33"/>
      <c r="K55" s="28"/>
      <c r="L55" s="28"/>
      <c r="M55" s="28"/>
      <c r="N55" s="28"/>
      <c r="O55" s="28"/>
      <c r="P55" s="28"/>
      <c r="Q55" s="28"/>
      <c r="R55" s="28"/>
      <c r="S55" s="28"/>
    </row>
    <row r="56" spans="1:19" x14ac:dyDescent="0.25">
      <c r="A56" s="3">
        <v>52</v>
      </c>
      <c r="B56" s="29"/>
      <c r="C56" s="28"/>
      <c r="D56" s="28"/>
      <c r="E56" s="28"/>
      <c r="F56" s="28"/>
      <c r="G56" s="28"/>
      <c r="H56" s="28"/>
      <c r="I56" s="28"/>
      <c r="J56" s="33"/>
      <c r="K56" s="28"/>
      <c r="L56" s="28"/>
      <c r="M56" s="28"/>
      <c r="N56" s="28"/>
      <c r="O56" s="28"/>
      <c r="P56" s="28"/>
      <c r="Q56" s="28"/>
      <c r="R56" s="28"/>
      <c r="S56" s="28"/>
    </row>
    <row r="57" spans="1:19" x14ac:dyDescent="0.25">
      <c r="A57" s="3">
        <v>53</v>
      </c>
      <c r="B57" s="29"/>
      <c r="C57" s="28"/>
      <c r="D57" s="28"/>
      <c r="E57" s="28"/>
      <c r="F57" s="28"/>
      <c r="G57" s="28"/>
      <c r="H57" s="28"/>
      <c r="I57" s="28"/>
      <c r="J57" s="33"/>
      <c r="K57" s="28"/>
      <c r="L57" s="28"/>
      <c r="M57" s="28"/>
      <c r="N57" s="28"/>
      <c r="O57" s="28"/>
      <c r="P57" s="28"/>
      <c r="Q57" s="28"/>
      <c r="R57" s="28"/>
      <c r="S57" s="28"/>
    </row>
    <row r="58" spans="1:19" x14ac:dyDescent="0.25">
      <c r="A58" s="3">
        <v>54</v>
      </c>
      <c r="B58" s="29"/>
      <c r="C58" s="28"/>
      <c r="D58" s="28"/>
      <c r="E58" s="28"/>
      <c r="F58" s="28"/>
      <c r="G58" s="28"/>
      <c r="H58" s="28"/>
      <c r="I58" s="28"/>
      <c r="J58" s="33"/>
      <c r="K58" s="28"/>
      <c r="L58" s="28"/>
      <c r="M58" s="28"/>
      <c r="N58" s="28"/>
      <c r="O58" s="28"/>
      <c r="P58" s="28"/>
      <c r="Q58" s="28"/>
      <c r="R58" s="28"/>
      <c r="S58" s="28"/>
    </row>
    <row r="59" spans="1:19" x14ac:dyDescent="0.25">
      <c r="A59" s="3">
        <v>55</v>
      </c>
      <c r="B59" s="29"/>
      <c r="C59" s="28"/>
      <c r="D59" s="28"/>
      <c r="E59" s="28"/>
      <c r="F59" s="28"/>
      <c r="G59" s="28"/>
      <c r="H59" s="28"/>
      <c r="I59" s="28"/>
      <c r="J59" s="33"/>
      <c r="K59" s="28"/>
      <c r="L59" s="28"/>
      <c r="M59" s="28"/>
      <c r="N59" s="28"/>
      <c r="O59" s="28"/>
      <c r="P59" s="28"/>
      <c r="Q59" s="28"/>
      <c r="R59" s="28"/>
      <c r="S59" s="28"/>
    </row>
    <row r="60" spans="1:19" x14ac:dyDescent="0.25">
      <c r="A60" s="3">
        <v>56</v>
      </c>
      <c r="B60" s="29"/>
      <c r="C60" s="28"/>
      <c r="D60" s="28"/>
      <c r="E60" s="28"/>
      <c r="F60" s="28"/>
      <c r="G60" s="28"/>
      <c r="H60" s="28"/>
      <c r="I60" s="28"/>
      <c r="J60" s="33"/>
      <c r="K60" s="28"/>
      <c r="L60" s="28"/>
      <c r="M60" s="28"/>
      <c r="N60" s="28"/>
      <c r="O60" s="28"/>
      <c r="P60" s="28"/>
      <c r="Q60" s="28"/>
      <c r="R60" s="28"/>
      <c r="S60" s="28"/>
    </row>
    <row r="61" spans="1:19" x14ac:dyDescent="0.25">
      <c r="A61" s="3">
        <v>57</v>
      </c>
      <c r="B61" s="29"/>
      <c r="C61" s="28"/>
      <c r="D61" s="28"/>
      <c r="E61" s="28"/>
      <c r="F61" s="28"/>
      <c r="G61" s="28"/>
      <c r="H61" s="28"/>
      <c r="I61" s="28"/>
      <c r="J61" s="33"/>
      <c r="K61" s="28"/>
      <c r="L61" s="28"/>
      <c r="M61" s="28"/>
      <c r="N61" s="28"/>
      <c r="O61" s="28"/>
      <c r="P61" s="28"/>
      <c r="Q61" s="28"/>
      <c r="R61" s="28"/>
      <c r="S61" s="28"/>
    </row>
    <row r="62" spans="1:19" x14ac:dyDescent="0.25">
      <c r="A62" s="3">
        <v>58</v>
      </c>
      <c r="B62" s="29"/>
      <c r="C62" s="28"/>
      <c r="D62" s="28"/>
      <c r="E62" s="28"/>
      <c r="F62" s="28"/>
      <c r="G62" s="28"/>
      <c r="H62" s="28"/>
      <c r="I62" s="28"/>
      <c r="J62" s="33"/>
      <c r="K62" s="28"/>
      <c r="L62" s="28"/>
      <c r="M62" s="28"/>
      <c r="N62" s="28"/>
      <c r="O62" s="28"/>
      <c r="P62" s="28"/>
      <c r="Q62" s="28"/>
      <c r="R62" s="28"/>
      <c r="S62" s="28"/>
    </row>
    <row r="63" spans="1:19" x14ac:dyDescent="0.25">
      <c r="A63" s="3">
        <v>59</v>
      </c>
      <c r="B63" s="29"/>
      <c r="C63" s="28"/>
      <c r="D63" s="28"/>
      <c r="E63" s="28"/>
      <c r="F63" s="28"/>
      <c r="G63" s="28"/>
      <c r="H63" s="28"/>
      <c r="I63" s="28"/>
      <c r="J63" s="33"/>
      <c r="K63" s="28"/>
      <c r="L63" s="28"/>
      <c r="M63" s="28"/>
      <c r="N63" s="28"/>
      <c r="O63" s="28"/>
      <c r="P63" s="28"/>
      <c r="Q63" s="28"/>
      <c r="R63" s="28"/>
      <c r="S63" s="28"/>
    </row>
    <row r="64" spans="1:19" x14ac:dyDescent="0.25">
      <c r="A64" s="3">
        <v>60</v>
      </c>
      <c r="B64" s="29"/>
      <c r="C64" s="28"/>
      <c r="D64" s="28"/>
      <c r="E64" s="28"/>
      <c r="F64" s="28"/>
      <c r="G64" s="28"/>
      <c r="H64" s="28"/>
      <c r="I64" s="28"/>
      <c r="J64" s="33"/>
      <c r="K64" s="28"/>
      <c r="L64" s="28"/>
      <c r="M64" s="28"/>
      <c r="N64" s="28"/>
      <c r="O64" s="28"/>
      <c r="P64" s="28"/>
      <c r="Q64" s="28"/>
      <c r="R64" s="28"/>
      <c r="S64" s="28"/>
    </row>
    <row r="65" spans="1:19" x14ac:dyDescent="0.25">
      <c r="A65" s="3">
        <v>61</v>
      </c>
      <c r="B65" s="29"/>
      <c r="C65" s="28"/>
      <c r="D65" s="28"/>
      <c r="E65" s="28"/>
      <c r="F65" s="28"/>
      <c r="G65" s="28"/>
      <c r="H65" s="28"/>
      <c r="I65" s="28"/>
      <c r="J65" s="33"/>
      <c r="K65" s="28"/>
      <c r="L65" s="28"/>
      <c r="M65" s="28"/>
      <c r="N65" s="28"/>
      <c r="O65" s="28"/>
      <c r="P65" s="28"/>
      <c r="Q65" s="28"/>
      <c r="R65" s="28"/>
      <c r="S65" s="28"/>
    </row>
  </sheetData>
  <mergeCells count="58">
    <mergeCell ref="X41:X43"/>
    <mergeCell ref="AA41:AA43"/>
    <mergeCell ref="AD41:AD43"/>
    <mergeCell ref="AG34:AG36"/>
    <mergeCell ref="AK34:AK36"/>
    <mergeCell ref="AR34:AR36"/>
    <mergeCell ref="X38:X40"/>
    <mergeCell ref="AA38:AA40"/>
    <mergeCell ref="AD38:AD40"/>
    <mergeCell ref="X31:X33"/>
    <mergeCell ref="AA31:AA33"/>
    <mergeCell ref="AD31:AD33"/>
    <mergeCell ref="X34:X36"/>
    <mergeCell ref="AA34:AA36"/>
    <mergeCell ref="AD34:AD36"/>
    <mergeCell ref="X25:X27"/>
    <mergeCell ref="AA25:AA27"/>
    <mergeCell ref="AD25:AD27"/>
    <mergeCell ref="X28:X30"/>
    <mergeCell ref="AA28:AA30"/>
    <mergeCell ref="AD28:AD30"/>
    <mergeCell ref="X19:X21"/>
    <mergeCell ref="AA19:AA21"/>
    <mergeCell ref="AD19:AD21"/>
    <mergeCell ref="X22:X24"/>
    <mergeCell ref="AA22:AA24"/>
    <mergeCell ref="AD22:AD24"/>
    <mergeCell ref="A1:S1"/>
    <mergeCell ref="U1:W1"/>
    <mergeCell ref="A2:S2"/>
    <mergeCell ref="U2:V2"/>
    <mergeCell ref="A3:A4"/>
    <mergeCell ref="B3:B4"/>
    <mergeCell ref="C3:C4"/>
    <mergeCell ref="D3:I3"/>
    <mergeCell ref="J3:J4"/>
    <mergeCell ref="K3:K4"/>
    <mergeCell ref="U6:U12"/>
    <mergeCell ref="L3:L4"/>
    <mergeCell ref="M3:M4"/>
    <mergeCell ref="N3:N4"/>
    <mergeCell ref="O3:O4"/>
    <mergeCell ref="P3:P4"/>
    <mergeCell ref="Q3:Q4"/>
    <mergeCell ref="R3:R4"/>
    <mergeCell ref="S3:S4"/>
    <mergeCell ref="U3:V3"/>
    <mergeCell ref="U4:V4"/>
    <mergeCell ref="U5:V5"/>
    <mergeCell ref="U34:U37"/>
    <mergeCell ref="U38:U40"/>
    <mergeCell ref="U41:U43"/>
    <mergeCell ref="U13:U18"/>
    <mergeCell ref="U19:U21"/>
    <mergeCell ref="U22:U24"/>
    <mergeCell ref="U25:U27"/>
    <mergeCell ref="U28:U30"/>
    <mergeCell ref="U31:U33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Resultados Nacionales</vt:lpstr>
      <vt:lpstr>Atlantida</vt:lpstr>
      <vt:lpstr>Colon</vt:lpstr>
      <vt:lpstr>Comayagua</vt:lpstr>
      <vt:lpstr>Copán</vt:lpstr>
      <vt:lpstr>Cortes</vt:lpstr>
      <vt:lpstr>Choluteca</vt:lpstr>
      <vt:lpstr>El Paraíso</vt:lpstr>
      <vt:lpstr>Fco Morazan</vt:lpstr>
      <vt:lpstr>Gracias a Dios</vt:lpstr>
      <vt:lpstr>Intibucá</vt:lpstr>
      <vt:lpstr>Islas DLB</vt:lpstr>
      <vt:lpstr>La Paz</vt:lpstr>
      <vt:lpstr>Lempira</vt:lpstr>
      <vt:lpstr>Ocotepeque</vt:lpstr>
      <vt:lpstr>Olancho</vt:lpstr>
      <vt:lpstr>Santa Barbara</vt:lpstr>
      <vt:lpstr>Valle</vt:lpstr>
      <vt:lpstr>Yoro</vt:lpstr>
      <vt:lpstr>'Resultados Nacionales'!Área_de_impresión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joel.miranda</dc:creator>
  <cp:lastModifiedBy>joel.miranda</cp:lastModifiedBy>
  <cp:lastPrinted>2017-08-10T22:21:29Z</cp:lastPrinted>
  <dcterms:created xsi:type="dcterms:W3CDTF">2017-07-25T14:43:50Z</dcterms:created>
  <dcterms:modified xsi:type="dcterms:W3CDTF">2007-05-21T12:59:02Z</dcterms:modified>
</cp:coreProperties>
</file>